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 tabRatio="594"/>
  </bookViews>
  <sheets>
    <sheet name="норм шт" sheetId="60" r:id="rId1"/>
    <sheet name="рас нор чис АУП" sheetId="2" r:id="rId2"/>
    <sheet name="расч.числ рабочих" sheetId="37" r:id="rId3"/>
    <sheet name="2.2" sheetId="6" r:id="rId4"/>
    <sheet name="2.1" sheetId="7" r:id="rId5"/>
    <sheet name="1.4" sheetId="10" r:id="rId6"/>
    <sheet name="потери 18" sheetId="49" r:id="rId7"/>
    <sheet name="норм маш" sheetId="11" r:id="rId8"/>
    <sheet name="нвв" sheetId="15" r:id="rId9"/>
    <sheet name="1.15" sheetId="14" r:id="rId10"/>
    <sheet name="1.16" sheetId="16" r:id="rId11"/>
    <sheet name="1.21" sheetId="18" r:id="rId12"/>
    <sheet name="1.24" sheetId="20" r:id="rId13"/>
    <sheet name="1.25" sheetId="21" r:id="rId14"/>
    <sheet name="МАТЕР ВСЕГО" sheetId="22" r:id="rId15"/>
    <sheet name="мэс-план" sheetId="36" r:id="rId16"/>
    <sheet name="мэс-факт" sheetId="53" r:id="rId17"/>
    <sheet name="дэк" sheetId="54" r:id="rId18"/>
    <sheet name="дрск" sheetId="55" r:id="rId19"/>
    <sheet name="Икс Ванино" sheetId="59" r:id="rId20"/>
    <sheet name="Смета расходов по годам" sheetId="40" r:id="rId21"/>
    <sheet name="Сравнить НВВ" sheetId="46" r:id="rId22"/>
  </sheets>
  <externalReferences>
    <externalReference r:id="rId23"/>
  </externalReferences>
  <calcPr calcId="152511"/>
</workbook>
</file>

<file path=xl/calcChain.xml><?xml version="1.0" encoding="utf-8"?>
<calcChain xmlns="http://schemas.openxmlformats.org/spreadsheetml/2006/main">
  <c r="G37" i="14" l="1"/>
  <c r="F37" i="14"/>
  <c r="E37" i="14"/>
  <c r="D37" i="14"/>
  <c r="C37" i="14"/>
  <c r="D5" i="21" l="1"/>
  <c r="H13" i="21" l="1"/>
  <c r="G13" i="21"/>
  <c r="F13" i="21"/>
  <c r="E13" i="21"/>
  <c r="D13" i="21"/>
  <c r="D24" i="15"/>
  <c r="D18" i="15"/>
  <c r="D16" i="15"/>
  <c r="E31" i="15"/>
  <c r="F31" i="15" s="1"/>
  <c r="G31" i="15" s="1"/>
  <c r="H31" i="15" s="1"/>
  <c r="H48" i="15"/>
  <c r="G48" i="15"/>
  <c r="F48" i="15"/>
  <c r="E48" i="15"/>
  <c r="D48" i="15"/>
  <c r="D8" i="15"/>
  <c r="C48" i="15"/>
  <c r="C62" i="15" s="1"/>
  <c r="C35" i="15"/>
  <c r="C30" i="15"/>
  <c r="C16" i="15"/>
  <c r="C13" i="15"/>
  <c r="C11" i="15" s="1"/>
  <c r="C8" i="15"/>
  <c r="C5" i="15"/>
  <c r="G52" i="14"/>
  <c r="F52" i="14"/>
  <c r="E52" i="14"/>
  <c r="D52" i="14"/>
  <c r="F37" i="18"/>
  <c r="G37" i="18" s="1"/>
  <c r="E37" i="18"/>
  <c r="D37" i="18"/>
  <c r="C52" i="14"/>
  <c r="D16" i="14"/>
  <c r="E16" i="14" s="1"/>
  <c r="F16" i="14" s="1"/>
  <c r="G16" i="14" s="1"/>
  <c r="C18" i="14"/>
  <c r="D25" i="14"/>
  <c r="E25" i="14" s="1"/>
  <c r="F25" i="14" s="1"/>
  <c r="G25" i="14" s="1"/>
  <c r="C4" i="22"/>
  <c r="C13" i="22"/>
  <c r="C12" i="22"/>
  <c r="C10" i="22"/>
  <c r="C9" i="22"/>
  <c r="C8" i="22"/>
  <c r="C7" i="22"/>
  <c r="C6" i="22"/>
  <c r="C5" i="22"/>
  <c r="C40" i="15" l="1"/>
  <c r="C66" i="15" s="1"/>
  <c r="D42" i="16" l="1"/>
  <c r="F85" i="60" l="1"/>
  <c r="G21" i="60"/>
  <c r="G79" i="60"/>
  <c r="K78" i="60"/>
  <c r="K77" i="60"/>
  <c r="K76" i="60"/>
  <c r="G74" i="60"/>
  <c r="K73" i="60"/>
  <c r="K72" i="60"/>
  <c r="K71" i="60"/>
  <c r="K70" i="60"/>
  <c r="K69" i="60"/>
  <c r="G67" i="60"/>
  <c r="K66" i="60"/>
  <c r="K65" i="60"/>
  <c r="K64" i="60"/>
  <c r="K63" i="60"/>
  <c r="K62" i="60"/>
  <c r="K60" i="60"/>
  <c r="K59" i="60"/>
  <c r="K58" i="60"/>
  <c r="K57" i="60"/>
  <c r="G54" i="60"/>
  <c r="K53" i="60"/>
  <c r="K52" i="60"/>
  <c r="K51" i="60"/>
  <c r="K50" i="60"/>
  <c r="G44" i="60"/>
  <c r="K43" i="60"/>
  <c r="K41" i="60"/>
  <c r="G39" i="60"/>
  <c r="G80" i="60" s="1"/>
  <c r="K38" i="60"/>
  <c r="K37" i="60"/>
  <c r="K36" i="60"/>
  <c r="K35" i="60"/>
  <c r="K34" i="60"/>
  <c r="G32" i="60"/>
  <c r="K31" i="60"/>
  <c r="K30" i="60"/>
  <c r="K29" i="60"/>
  <c r="G27" i="60"/>
  <c r="K26" i="60"/>
  <c r="K25" i="60"/>
  <c r="K24" i="60"/>
  <c r="K23" i="60"/>
  <c r="K20" i="60"/>
  <c r="K19" i="60"/>
  <c r="K18" i="60"/>
  <c r="K17" i="60"/>
  <c r="K16" i="60"/>
  <c r="K15" i="60"/>
  <c r="K14" i="60"/>
  <c r="K13" i="60"/>
  <c r="K12" i="60"/>
  <c r="K11" i="60"/>
  <c r="K80" i="60" s="1"/>
  <c r="G82" i="60" l="1"/>
  <c r="B11" i="22" l="1"/>
  <c r="B3" i="22" s="1"/>
  <c r="B14" i="22" s="1"/>
  <c r="C68" i="37" l="1"/>
  <c r="AF36" i="40" l="1"/>
  <c r="E64" i="36" l="1"/>
  <c r="E38" i="36"/>
  <c r="G34" i="36"/>
  <c r="F8" i="53"/>
  <c r="H8" i="53"/>
  <c r="I8" i="53"/>
  <c r="F9" i="53"/>
  <c r="H9" i="53"/>
  <c r="I9" i="53" s="1"/>
  <c r="F10" i="53"/>
  <c r="I10" i="53" s="1"/>
  <c r="H10" i="53"/>
  <c r="F11" i="53"/>
  <c r="I11" i="53" s="1"/>
  <c r="H11" i="53"/>
  <c r="F12" i="53"/>
  <c r="H12" i="53"/>
  <c r="I12" i="53"/>
  <c r="F13" i="53"/>
  <c r="H13" i="53"/>
  <c r="I13" i="53"/>
  <c r="E19" i="59" l="1"/>
  <c r="D16" i="59"/>
  <c r="D15" i="59"/>
  <c r="D17" i="59"/>
  <c r="D10" i="59"/>
  <c r="D9" i="59"/>
  <c r="D8" i="59"/>
  <c r="D7" i="59"/>
  <c r="D6" i="59"/>
  <c r="D18" i="59" l="1"/>
  <c r="E17" i="59"/>
  <c r="E16" i="59"/>
  <c r="E15" i="59"/>
  <c r="E14" i="59"/>
  <c r="E13" i="59"/>
  <c r="E12" i="59"/>
  <c r="E11" i="59"/>
  <c r="E10" i="59"/>
  <c r="E9" i="59"/>
  <c r="E8" i="59"/>
  <c r="E7" i="59"/>
  <c r="E6" i="59"/>
  <c r="E18" i="59" l="1"/>
  <c r="AF44" i="40" l="1"/>
  <c r="Q16" i="46" l="1"/>
  <c r="Q8" i="46"/>
  <c r="H41" i="7" l="1"/>
  <c r="P49" i="46" l="1"/>
  <c r="P63" i="46" s="1"/>
  <c r="P35" i="46"/>
  <c r="P30" i="46"/>
  <c r="Q13" i="46"/>
  <c r="Q11" i="46" s="1"/>
  <c r="P13" i="46"/>
  <c r="P11" i="46" s="1"/>
  <c r="Q49" i="46"/>
  <c r="Q63" i="46" s="1"/>
  <c r="Q35" i="46"/>
  <c r="Q30" i="46"/>
  <c r="Q5" i="46"/>
  <c r="P5" i="46"/>
  <c r="AE44" i="40"/>
  <c r="AG44" i="40" s="1"/>
  <c r="AD44" i="40"/>
  <c r="AE32" i="40"/>
  <c r="AD32" i="40"/>
  <c r="AF13" i="40"/>
  <c r="AE13" i="40"/>
  <c r="AD13" i="40"/>
  <c r="AG46" i="40"/>
  <c r="AG43" i="40"/>
  <c r="AG34" i="40"/>
  <c r="AG33" i="40"/>
  <c r="AG32" i="40"/>
  <c r="AG31" i="40"/>
  <c r="AG30" i="40"/>
  <c r="AF28" i="40"/>
  <c r="AE28" i="40"/>
  <c r="AD28" i="40"/>
  <c r="AD21" i="40" s="1"/>
  <c r="AG25" i="40"/>
  <c r="AG24" i="40"/>
  <c r="AG23" i="40"/>
  <c r="AE21" i="40"/>
  <c r="AG20" i="40"/>
  <c r="AG18" i="40"/>
  <c r="AG16" i="40"/>
  <c r="AG15" i="40"/>
  <c r="AG14" i="40"/>
  <c r="AG11" i="40"/>
  <c r="AG10" i="40"/>
  <c r="AG8" i="40"/>
  <c r="AG7" i="40"/>
  <c r="F20" i="53"/>
  <c r="C20" i="53"/>
  <c r="B20" i="53"/>
  <c r="H19" i="53"/>
  <c r="I19" i="53" s="1"/>
  <c r="J19" i="53" s="1"/>
  <c r="F19" i="53"/>
  <c r="H18" i="53"/>
  <c r="I18" i="53" s="1"/>
  <c r="J18" i="53" s="1"/>
  <c r="F18" i="53"/>
  <c r="H17" i="53"/>
  <c r="I17" i="53" s="1"/>
  <c r="J17" i="53" s="1"/>
  <c r="F17" i="53"/>
  <c r="H16" i="53"/>
  <c r="I16" i="53" s="1"/>
  <c r="J16" i="53" s="1"/>
  <c r="F16" i="53"/>
  <c r="H15" i="53"/>
  <c r="I15" i="53" s="1"/>
  <c r="J15" i="53" s="1"/>
  <c r="F15" i="53"/>
  <c r="H14" i="53"/>
  <c r="I14" i="53" s="1"/>
  <c r="J14" i="53" s="1"/>
  <c r="F14" i="53"/>
  <c r="J13" i="53"/>
  <c r="J12" i="53"/>
  <c r="J11" i="53"/>
  <c r="J10" i="53"/>
  <c r="J9" i="53"/>
  <c r="F22" i="54"/>
  <c r="C22" i="54"/>
  <c r="G21" i="54"/>
  <c r="D21" i="54"/>
  <c r="I21" i="54" s="1"/>
  <c r="G20" i="54"/>
  <c r="D20" i="54"/>
  <c r="I20" i="54" s="1"/>
  <c r="K19" i="54"/>
  <c r="J19" i="54"/>
  <c r="I19" i="54"/>
  <c r="G19" i="54"/>
  <c r="D19" i="54"/>
  <c r="G18" i="54"/>
  <c r="I18" i="54" s="1"/>
  <c r="D18" i="54"/>
  <c r="G17" i="54"/>
  <c r="D17" i="54"/>
  <c r="I17" i="54" s="1"/>
  <c r="J17" i="54" s="1"/>
  <c r="G16" i="54"/>
  <c r="D16" i="54"/>
  <c r="I16" i="54" s="1"/>
  <c r="G15" i="54"/>
  <c r="D15" i="54"/>
  <c r="G14" i="54"/>
  <c r="D14" i="54"/>
  <c r="B14" i="54"/>
  <c r="B22" i="54" s="1"/>
  <c r="G13" i="54"/>
  <c r="D13" i="54"/>
  <c r="G12" i="54"/>
  <c r="D12" i="54"/>
  <c r="D22" i="54" s="1"/>
  <c r="G11" i="54"/>
  <c r="I11" i="54" s="1"/>
  <c r="D11" i="54"/>
  <c r="G10" i="54"/>
  <c r="D10" i="54"/>
  <c r="I10" i="54" s="1"/>
  <c r="J10" i="54" s="1"/>
  <c r="C18" i="55"/>
  <c r="B18" i="55"/>
  <c r="H17" i="55"/>
  <c r="I17" i="55" s="1"/>
  <c r="J17" i="55" s="1"/>
  <c r="F17" i="55"/>
  <c r="H16" i="55"/>
  <c r="I16" i="55" s="1"/>
  <c r="J16" i="55" s="1"/>
  <c r="F16" i="55"/>
  <c r="H15" i="55"/>
  <c r="I15" i="55" s="1"/>
  <c r="J15" i="55" s="1"/>
  <c r="F15" i="55"/>
  <c r="H14" i="55"/>
  <c r="I14" i="55" s="1"/>
  <c r="J14" i="55" s="1"/>
  <c r="F14" i="55"/>
  <c r="H13" i="55"/>
  <c r="I13" i="55" s="1"/>
  <c r="J13" i="55" s="1"/>
  <c r="F13" i="55"/>
  <c r="H12" i="55"/>
  <c r="I12" i="55" s="1"/>
  <c r="J12" i="55" s="1"/>
  <c r="F12" i="55"/>
  <c r="H11" i="55"/>
  <c r="I11" i="55" s="1"/>
  <c r="J11" i="55" s="1"/>
  <c r="F11" i="55"/>
  <c r="H10" i="55"/>
  <c r="I10" i="55" s="1"/>
  <c r="J10" i="55" s="1"/>
  <c r="F10" i="55"/>
  <c r="H9" i="55"/>
  <c r="I9" i="55" s="1"/>
  <c r="J9" i="55" s="1"/>
  <c r="F9" i="55"/>
  <c r="H8" i="55"/>
  <c r="I8" i="55" s="1"/>
  <c r="J8" i="55" s="1"/>
  <c r="F8" i="55"/>
  <c r="H7" i="55"/>
  <c r="I7" i="55" s="1"/>
  <c r="J7" i="55" s="1"/>
  <c r="F7" i="55"/>
  <c r="H6" i="55"/>
  <c r="H18" i="55" s="1"/>
  <c r="F6" i="55"/>
  <c r="F18" i="55" s="1"/>
  <c r="AG13" i="40" l="1"/>
  <c r="P40" i="46"/>
  <c r="P68" i="46" s="1"/>
  <c r="Q40" i="46"/>
  <c r="Q68" i="46" s="1"/>
  <c r="AD35" i="40"/>
  <c r="AD38" i="40" s="1"/>
  <c r="AD45" i="40" s="1"/>
  <c r="AD47" i="40" s="1"/>
  <c r="AG28" i="40"/>
  <c r="AE35" i="40"/>
  <c r="AE38" i="40" s="1"/>
  <c r="AE45" i="40" s="1"/>
  <c r="AE47" i="40" s="1"/>
  <c r="AF21" i="40"/>
  <c r="I20" i="53"/>
  <c r="J8" i="53"/>
  <c r="J20" i="53" s="1"/>
  <c r="H20" i="53"/>
  <c r="G20" i="53" s="1"/>
  <c r="I13" i="54"/>
  <c r="J13" i="54" s="1"/>
  <c r="K13" i="54" s="1"/>
  <c r="I14" i="54"/>
  <c r="I15" i="54"/>
  <c r="J14" i="54"/>
  <c r="K14" i="54" s="1"/>
  <c r="K16" i="54"/>
  <c r="J16" i="54"/>
  <c r="J20" i="54"/>
  <c r="K20" i="54" s="1"/>
  <c r="K11" i="54"/>
  <c r="J11" i="54"/>
  <c r="J15" i="54"/>
  <c r="K15" i="54"/>
  <c r="K18" i="54"/>
  <c r="J18" i="54"/>
  <c r="G22" i="54"/>
  <c r="J21" i="54"/>
  <c r="K21" i="54" s="1"/>
  <c r="K10" i="54"/>
  <c r="I12" i="54"/>
  <c r="K17" i="54"/>
  <c r="I6" i="55"/>
  <c r="AF35" i="40" l="1"/>
  <c r="AG21" i="40"/>
  <c r="J12" i="54"/>
  <c r="J22" i="54" s="1"/>
  <c r="I22" i="54"/>
  <c r="E22" i="54" s="1"/>
  <c r="I18" i="55"/>
  <c r="J6" i="55"/>
  <c r="J18" i="55" s="1"/>
  <c r="AF38" i="40" l="1"/>
  <c r="AG35" i="40"/>
  <c r="K12" i="54"/>
  <c r="K22" i="54" s="1"/>
  <c r="AG38" i="40" l="1"/>
  <c r="AF45" i="40"/>
  <c r="AF47" i="40" l="1"/>
  <c r="AG47" i="40" s="1"/>
  <c r="AG45" i="40"/>
  <c r="C60" i="36" l="1"/>
  <c r="E60" i="36" s="1"/>
  <c r="E59" i="36"/>
  <c r="G59" i="36" s="1"/>
  <c r="E58" i="36"/>
  <c r="G58" i="36" s="1"/>
  <c r="E57" i="36"/>
  <c r="G57" i="36" s="1"/>
  <c r="E56" i="36"/>
  <c r="G56" i="36" s="1"/>
  <c r="E55" i="36"/>
  <c r="G55" i="36" s="1"/>
  <c r="E54" i="36"/>
  <c r="G54" i="36" s="1"/>
  <c r="E53" i="36"/>
  <c r="G53" i="36" s="1"/>
  <c r="E52" i="36"/>
  <c r="G52" i="36" s="1"/>
  <c r="E51" i="36"/>
  <c r="G51" i="36" s="1"/>
  <c r="E50" i="36"/>
  <c r="G50" i="36" s="1"/>
  <c r="E49" i="36"/>
  <c r="E48" i="36"/>
  <c r="G48" i="36" s="1"/>
  <c r="E33" i="36"/>
  <c r="G33" i="36" s="1"/>
  <c r="E21" i="36"/>
  <c r="E20" i="36"/>
  <c r="E19" i="36"/>
  <c r="E18" i="36"/>
  <c r="E17" i="36"/>
  <c r="E16" i="36"/>
  <c r="E15" i="36"/>
  <c r="E14" i="36"/>
  <c r="E13" i="36"/>
  <c r="E12" i="36"/>
  <c r="E11" i="36"/>
  <c r="E10" i="36"/>
  <c r="S47" i="40"/>
  <c r="Q47" i="40"/>
  <c r="M47" i="40"/>
  <c r="I47" i="40"/>
  <c r="AC46" i="40"/>
  <c r="Y46" i="40"/>
  <c r="U46" i="40"/>
  <c r="Q46" i="40"/>
  <c r="M46" i="40"/>
  <c r="I46" i="40"/>
  <c r="I45" i="40"/>
  <c r="D45" i="40"/>
  <c r="E45" i="40" s="1"/>
  <c r="AC44" i="40"/>
  <c r="AA44" i="40"/>
  <c r="Z44" i="40"/>
  <c r="Y44" i="40"/>
  <c r="W44" i="40"/>
  <c r="V44" i="40"/>
  <c r="U44" i="40"/>
  <c r="Q44" i="40"/>
  <c r="M44" i="40"/>
  <c r="I44" i="40"/>
  <c r="E44" i="40"/>
  <c r="AC43" i="40"/>
  <c r="Y43" i="40"/>
  <c r="I42" i="40"/>
  <c r="E42" i="40"/>
  <c r="I41" i="40"/>
  <c r="E41" i="40"/>
  <c r="I40" i="40"/>
  <c r="E40" i="40"/>
  <c r="I39" i="40"/>
  <c r="E39" i="40"/>
  <c r="I38" i="40"/>
  <c r="E38" i="40"/>
  <c r="Q37" i="40"/>
  <c r="M37" i="40"/>
  <c r="I37" i="40"/>
  <c r="E37" i="40"/>
  <c r="Q36" i="40"/>
  <c r="M36" i="40"/>
  <c r="I36" i="40"/>
  <c r="E36" i="40"/>
  <c r="P35" i="40"/>
  <c r="P38" i="40" s="1"/>
  <c r="I35" i="40"/>
  <c r="E35" i="40"/>
  <c r="AC34" i="40"/>
  <c r="Y34" i="40"/>
  <c r="U34" i="40"/>
  <c r="Q34" i="40"/>
  <c r="M34" i="40"/>
  <c r="I34" i="40"/>
  <c r="E34" i="40"/>
  <c r="AC33" i="40"/>
  <c r="Y33" i="40"/>
  <c r="U33" i="40"/>
  <c r="Q33" i="40"/>
  <c r="M33" i="40"/>
  <c r="I33" i="40"/>
  <c r="E33" i="40"/>
  <c r="AA32" i="40"/>
  <c r="AC32" i="40" s="1"/>
  <c r="Z32" i="40"/>
  <c r="W32" i="40"/>
  <c r="Y32" i="40" s="1"/>
  <c r="V32" i="40"/>
  <c r="S32" i="40"/>
  <c r="U32" i="40" s="1"/>
  <c r="Q32" i="40"/>
  <c r="M32" i="40"/>
  <c r="I32" i="40"/>
  <c r="E32" i="40"/>
  <c r="AC31" i="40"/>
  <c r="Y31" i="40"/>
  <c r="U31" i="40"/>
  <c r="Q31" i="40"/>
  <c r="M31" i="40"/>
  <c r="I31" i="40"/>
  <c r="E31" i="40"/>
  <c r="AC30" i="40"/>
  <c r="Y30" i="40"/>
  <c r="U30" i="40"/>
  <c r="Q30" i="40"/>
  <c r="M30" i="40"/>
  <c r="I30" i="40"/>
  <c r="E30" i="40"/>
  <c r="M29" i="40"/>
  <c r="I29" i="40"/>
  <c r="E29" i="40"/>
  <c r="AC28" i="40"/>
  <c r="AB28" i="40"/>
  <c r="AA28" i="40"/>
  <c r="Z28" i="40"/>
  <c r="Y28" i="40"/>
  <c r="X28" i="40"/>
  <c r="W28" i="40"/>
  <c r="V28" i="40"/>
  <c r="U28" i="40"/>
  <c r="S28" i="40"/>
  <c r="R28" i="40"/>
  <c r="Q28" i="40"/>
  <c r="M28" i="40"/>
  <c r="I28" i="40"/>
  <c r="E28" i="40"/>
  <c r="M27" i="40"/>
  <c r="I27" i="40"/>
  <c r="E27" i="40"/>
  <c r="M26" i="40"/>
  <c r="I26" i="40"/>
  <c r="E26" i="40"/>
  <c r="AC25" i="40"/>
  <c r="Y25" i="40"/>
  <c r="U25" i="40"/>
  <c r="Q25" i="40"/>
  <c r="M25" i="40"/>
  <c r="I25" i="40"/>
  <c r="E25" i="40"/>
  <c r="AC24" i="40"/>
  <c r="Y24" i="40"/>
  <c r="U24" i="40"/>
  <c r="Q24" i="40"/>
  <c r="M24" i="40"/>
  <c r="I24" i="40"/>
  <c r="E24" i="40"/>
  <c r="AC23" i="40"/>
  <c r="Y23" i="40"/>
  <c r="U23" i="40"/>
  <c r="Q23" i="40"/>
  <c r="M23" i="40"/>
  <c r="I23" i="40"/>
  <c r="E23" i="40"/>
  <c r="M22" i="40"/>
  <c r="I22" i="40"/>
  <c r="E22" i="40"/>
  <c r="AB21" i="40"/>
  <c r="AC21" i="40" s="1"/>
  <c r="AA21" i="40"/>
  <c r="Z21" i="40"/>
  <c r="X21" i="40"/>
  <c r="Y21" i="40" s="1"/>
  <c r="W21" i="40"/>
  <c r="V21" i="40"/>
  <c r="T21" i="40"/>
  <c r="U21" i="40" s="1"/>
  <c r="S21" i="40"/>
  <c r="R21" i="40"/>
  <c r="R35" i="40" s="1"/>
  <c r="R38" i="40" s="1"/>
  <c r="R45" i="40" s="1"/>
  <c r="R47" i="40" s="1"/>
  <c r="Q21" i="40"/>
  <c r="L21" i="40"/>
  <c r="M21" i="40" s="1"/>
  <c r="I21" i="40"/>
  <c r="D21" i="40"/>
  <c r="E21" i="40" s="1"/>
  <c r="AC20" i="40"/>
  <c r="Y20" i="40"/>
  <c r="U20" i="40"/>
  <c r="Q20" i="40"/>
  <c r="M20" i="40"/>
  <c r="I20" i="40"/>
  <c r="E20" i="40"/>
  <c r="M19" i="40"/>
  <c r="I19" i="40"/>
  <c r="E19" i="40"/>
  <c r="AC18" i="40"/>
  <c r="Y18" i="40"/>
  <c r="U18" i="40"/>
  <c r="Q18" i="40"/>
  <c r="M18" i="40"/>
  <c r="I18" i="40"/>
  <c r="E18" i="40"/>
  <c r="M17" i="40"/>
  <c r="I17" i="40"/>
  <c r="E17" i="40"/>
  <c r="AC16" i="40"/>
  <c r="Y16" i="40"/>
  <c r="U16" i="40"/>
  <c r="Q16" i="40"/>
  <c r="M16" i="40"/>
  <c r="I16" i="40"/>
  <c r="E16" i="40"/>
  <c r="AC15" i="40"/>
  <c r="Y15" i="40"/>
  <c r="U15" i="40"/>
  <c r="Q15" i="40"/>
  <c r="M15" i="40"/>
  <c r="I15" i="40"/>
  <c r="E15" i="40"/>
  <c r="AC14" i="40"/>
  <c r="Y14" i="40"/>
  <c r="U14" i="40"/>
  <c r="Q14" i="40"/>
  <c r="M14" i="40"/>
  <c r="I14" i="40"/>
  <c r="E14" i="40"/>
  <c r="AC13" i="40"/>
  <c r="AA13" i="40"/>
  <c r="AA35" i="40" s="1"/>
  <c r="AA38" i="40" s="1"/>
  <c r="AA45" i="40" s="1"/>
  <c r="AA47" i="40" s="1"/>
  <c r="Z13" i="40"/>
  <c r="Z35" i="40" s="1"/>
  <c r="Z38" i="40" s="1"/>
  <c r="Z45" i="40" s="1"/>
  <c r="Z47" i="40" s="1"/>
  <c r="X13" i="40"/>
  <c r="Y13" i="40" s="1"/>
  <c r="W13" i="40"/>
  <c r="W35" i="40" s="1"/>
  <c r="W38" i="40" s="1"/>
  <c r="W45" i="40" s="1"/>
  <c r="W47" i="40" s="1"/>
  <c r="V13" i="40"/>
  <c r="V35" i="40" s="1"/>
  <c r="V38" i="40" s="1"/>
  <c r="V45" i="40" s="1"/>
  <c r="V47" i="40" s="1"/>
  <c r="S13" i="40"/>
  <c r="S35" i="40" s="1"/>
  <c r="S38" i="40" s="1"/>
  <c r="Q13" i="40"/>
  <c r="L13" i="40"/>
  <c r="L35" i="40" s="1"/>
  <c r="I13" i="40"/>
  <c r="D13" i="40"/>
  <c r="E13" i="40" s="1"/>
  <c r="M12" i="40"/>
  <c r="I12" i="40"/>
  <c r="E12" i="40"/>
  <c r="AC11" i="40"/>
  <c r="Y11" i="40"/>
  <c r="U11" i="40"/>
  <c r="M11" i="40"/>
  <c r="I11" i="40"/>
  <c r="E11" i="40"/>
  <c r="AC10" i="40"/>
  <c r="Y10" i="40"/>
  <c r="U10" i="40"/>
  <c r="Q10" i="40"/>
  <c r="M10" i="40"/>
  <c r="I10" i="40"/>
  <c r="E10" i="40"/>
  <c r="M9" i="40"/>
  <c r="I9" i="40"/>
  <c r="E9" i="40"/>
  <c r="AC8" i="40"/>
  <c r="Y8" i="40"/>
  <c r="U8" i="40"/>
  <c r="Q8" i="40"/>
  <c r="M8" i="40"/>
  <c r="I8" i="40"/>
  <c r="E8" i="40"/>
  <c r="AC7" i="40"/>
  <c r="Y7" i="40"/>
  <c r="U7" i="40"/>
  <c r="Q7" i="40"/>
  <c r="M7" i="40"/>
  <c r="I7" i="40"/>
  <c r="E7" i="40"/>
  <c r="G49" i="36" l="1"/>
  <c r="G60" i="36" s="1"/>
  <c r="F60" i="36" s="1"/>
  <c r="E22" i="36"/>
  <c r="E23" i="36" s="1"/>
  <c r="Q38" i="40"/>
  <c r="P45" i="40"/>
  <c r="Q45" i="40" s="1"/>
  <c r="M35" i="40"/>
  <c r="L38" i="40"/>
  <c r="T35" i="40"/>
  <c r="X35" i="40"/>
  <c r="AB35" i="40"/>
  <c r="U13" i="40"/>
  <c r="Q35" i="40"/>
  <c r="M13" i="40"/>
  <c r="E37" i="36" l="1"/>
  <c r="M38" i="40"/>
  <c r="L45" i="40"/>
  <c r="M45" i="40" s="1"/>
  <c r="AB38" i="40"/>
  <c r="AC35" i="40"/>
  <c r="X38" i="40"/>
  <c r="Y35" i="40"/>
  <c r="T38" i="40"/>
  <c r="U35" i="40"/>
  <c r="Y38" i="40" l="1"/>
  <c r="X45" i="40"/>
  <c r="U38" i="40"/>
  <c r="T45" i="40"/>
  <c r="AC38" i="40"/>
  <c r="AB45" i="40"/>
  <c r="AB47" i="40" l="1"/>
  <c r="AC47" i="40" s="1"/>
  <c r="AC45" i="40"/>
  <c r="X47" i="40"/>
  <c r="Y47" i="40" s="1"/>
  <c r="Y45" i="40"/>
  <c r="T47" i="40"/>
  <c r="U47" i="40" s="1"/>
  <c r="U45" i="40"/>
  <c r="O63" i="46" l="1"/>
  <c r="O49" i="46"/>
  <c r="O37" i="46"/>
  <c r="O35" i="46"/>
  <c r="O30" i="46"/>
  <c r="O16" i="46"/>
  <c r="O13" i="46" s="1"/>
  <c r="O11" i="46" s="1"/>
  <c r="O6" i="46"/>
  <c r="O5" i="46"/>
  <c r="M63" i="46"/>
  <c r="L63" i="46"/>
  <c r="K63" i="46"/>
  <c r="K68" i="46" s="1"/>
  <c r="I63" i="46"/>
  <c r="G63" i="46"/>
  <c r="G68" i="46" s="1"/>
  <c r="D63" i="46"/>
  <c r="C63" i="46"/>
  <c r="N49" i="46"/>
  <c r="N63" i="46" s="1"/>
  <c r="L49" i="46"/>
  <c r="J49" i="46"/>
  <c r="J63" i="46" s="1"/>
  <c r="H49" i="46"/>
  <c r="H63" i="46" s="1"/>
  <c r="H68" i="46" s="1"/>
  <c r="G49" i="46"/>
  <c r="F49" i="46"/>
  <c r="F63" i="46" s="1"/>
  <c r="E49" i="46"/>
  <c r="E63" i="46" s="1"/>
  <c r="G40" i="46"/>
  <c r="E40" i="46"/>
  <c r="C40" i="46"/>
  <c r="C68" i="46" s="1"/>
  <c r="N37" i="46"/>
  <c r="L37" i="46"/>
  <c r="J37" i="46"/>
  <c r="N35" i="46"/>
  <c r="J35" i="46"/>
  <c r="H35" i="46"/>
  <c r="N30" i="46"/>
  <c r="J30" i="46"/>
  <c r="H30" i="46"/>
  <c r="F30" i="46"/>
  <c r="L29" i="46"/>
  <c r="J29" i="46"/>
  <c r="H29" i="46"/>
  <c r="H13" i="46" s="1"/>
  <c r="H11" i="46" s="1"/>
  <c r="F24" i="46"/>
  <c r="N16" i="46"/>
  <c r="L16" i="46"/>
  <c r="L13" i="46" s="1"/>
  <c r="L11" i="46" s="1"/>
  <c r="J16" i="46"/>
  <c r="J13" i="46" s="1"/>
  <c r="J11" i="46" s="1"/>
  <c r="H16" i="46"/>
  <c r="F16" i="46"/>
  <c r="N13" i="46"/>
  <c r="N11" i="46" s="1"/>
  <c r="F13" i="46"/>
  <c r="F11" i="46" s="1"/>
  <c r="D11" i="46"/>
  <c r="H8" i="46"/>
  <c r="D8" i="46"/>
  <c r="N6" i="46"/>
  <c r="N5" i="46" s="1"/>
  <c r="N40" i="46" s="1"/>
  <c r="M6" i="46"/>
  <c r="M5" i="46" s="1"/>
  <c r="M40" i="46" s="1"/>
  <c r="L6" i="46"/>
  <c r="J6" i="46"/>
  <c r="J5" i="46" s="1"/>
  <c r="F6" i="46"/>
  <c r="L5" i="46"/>
  <c r="L40" i="46" s="1"/>
  <c r="K5" i="46"/>
  <c r="K40" i="46" s="1"/>
  <c r="I5" i="46"/>
  <c r="I40" i="46" s="1"/>
  <c r="H5" i="46"/>
  <c r="H40" i="46" s="1"/>
  <c r="F5" i="46"/>
  <c r="F40" i="46" s="1"/>
  <c r="F68" i="46" s="1"/>
  <c r="D5" i="46"/>
  <c r="D40" i="46" s="1"/>
  <c r="D68" i="46" s="1"/>
  <c r="O40" i="46" l="1"/>
  <c r="O68" i="46" s="1"/>
  <c r="L68" i="46"/>
  <c r="J40" i="46"/>
  <c r="E68" i="46"/>
  <c r="N68" i="46"/>
  <c r="I68" i="46"/>
  <c r="J68" i="46"/>
  <c r="M68" i="46"/>
  <c r="D45" i="37"/>
  <c r="D44" i="37"/>
  <c r="G19" i="10" l="1"/>
  <c r="F19" i="10"/>
  <c r="E19" i="10"/>
  <c r="F10" i="10"/>
  <c r="C21" i="10"/>
  <c r="I23" i="49" l="1"/>
  <c r="I24" i="49" s="1"/>
  <c r="H23" i="49"/>
  <c r="G23" i="49"/>
  <c r="F23" i="49"/>
  <c r="E20" i="49"/>
  <c r="E19" i="49"/>
  <c r="E18" i="49"/>
  <c r="E16" i="49"/>
  <c r="I15" i="49"/>
  <c r="I17" i="49" s="1"/>
  <c r="E14" i="49"/>
  <c r="E13" i="49"/>
  <c r="E12" i="49"/>
  <c r="E11" i="49"/>
  <c r="I10" i="49"/>
  <c r="H10" i="49"/>
  <c r="H15" i="49" s="1"/>
  <c r="G10" i="49"/>
  <c r="G15" i="49" s="1"/>
  <c r="F10" i="49"/>
  <c r="E10" i="49" l="1"/>
  <c r="E15" i="49" s="1"/>
  <c r="H17" i="49"/>
  <c r="H22" i="49"/>
  <c r="H24" i="49" s="1"/>
  <c r="H25" i="49" s="1"/>
  <c r="H21" i="49"/>
  <c r="G17" i="49"/>
  <c r="G21" i="49"/>
  <c r="G22" i="49"/>
  <c r="E17" i="49"/>
  <c r="I25" i="49"/>
  <c r="I21" i="49"/>
  <c r="F15" i="49"/>
  <c r="G24" i="49" l="1"/>
  <c r="G25" i="49" s="1"/>
  <c r="F22" i="49"/>
  <c r="F21" i="49"/>
  <c r="F24" i="49" s="1"/>
  <c r="F17" i="49"/>
  <c r="F25" i="49" l="1"/>
  <c r="E28" i="49" s="1"/>
  <c r="E27" i="49" s="1"/>
  <c r="G8" i="11" l="1"/>
  <c r="G7" i="11"/>
  <c r="D18" i="11" s="1"/>
  <c r="C42" i="37" l="1"/>
  <c r="H46" i="7" l="1"/>
  <c r="H45" i="7"/>
  <c r="H44" i="7"/>
  <c r="H43" i="7"/>
  <c r="H40" i="7"/>
  <c r="H39" i="7"/>
  <c r="H38" i="7"/>
  <c r="H37" i="7"/>
  <c r="H36" i="7"/>
  <c r="H33" i="7"/>
  <c r="H32" i="7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30" i="7" s="1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 l="1"/>
  <c r="G49" i="6"/>
  <c r="G48" i="6"/>
  <c r="G47" i="6"/>
  <c r="G46" i="6"/>
  <c r="G45" i="6"/>
  <c r="G44" i="6"/>
  <c r="G43" i="6"/>
  <c r="G42" i="6"/>
  <c r="G41" i="6"/>
  <c r="G40" i="6"/>
  <c r="G39" i="6"/>
  <c r="G51" i="6" s="1"/>
  <c r="G38" i="6"/>
  <c r="G37" i="6"/>
  <c r="G36" i="6"/>
  <c r="G35" i="6"/>
  <c r="G34" i="6"/>
  <c r="G52" i="6" s="1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G53" i="6" l="1"/>
  <c r="G54" i="6" s="1"/>
  <c r="H30" i="15" l="1"/>
  <c r="G30" i="15"/>
  <c r="F30" i="15"/>
  <c r="E30" i="15"/>
  <c r="D30" i="15"/>
  <c r="H35" i="15"/>
  <c r="G35" i="15"/>
  <c r="F35" i="15"/>
  <c r="E35" i="15"/>
  <c r="D35" i="15"/>
  <c r="E29" i="15"/>
  <c r="F29" i="15" s="1"/>
  <c r="G29" i="15" s="1"/>
  <c r="H29" i="15" s="1"/>
  <c r="E25" i="15"/>
  <c r="F25" i="15" s="1"/>
  <c r="G25" i="15" s="1"/>
  <c r="H25" i="15" s="1"/>
  <c r="E24" i="15"/>
  <c r="F24" i="15" s="1"/>
  <c r="G24" i="15" s="1"/>
  <c r="H24" i="15" s="1"/>
  <c r="E18" i="15"/>
  <c r="F18" i="15" s="1"/>
  <c r="G18" i="15" s="1"/>
  <c r="H18" i="15" s="1"/>
  <c r="E15" i="15"/>
  <c r="F15" i="15" s="1"/>
  <c r="G15" i="15" s="1"/>
  <c r="H15" i="15" s="1"/>
  <c r="E14" i="15"/>
  <c r="F14" i="15" s="1"/>
  <c r="E16" i="15"/>
  <c r="F16" i="15" s="1"/>
  <c r="G16" i="15" s="1"/>
  <c r="H16" i="15" s="1"/>
  <c r="G33" i="18"/>
  <c r="F33" i="18"/>
  <c r="E33" i="18"/>
  <c r="D33" i="18"/>
  <c r="C33" i="18"/>
  <c r="H53" i="15"/>
  <c r="G53" i="15"/>
  <c r="G62" i="15" s="1"/>
  <c r="F53" i="15"/>
  <c r="E53" i="15"/>
  <c r="E62" i="15" s="1"/>
  <c r="D53" i="15"/>
  <c r="D62" i="15" s="1"/>
  <c r="H62" i="15"/>
  <c r="E5" i="21"/>
  <c r="E24" i="21" s="1"/>
  <c r="D24" i="21"/>
  <c r="H18" i="21"/>
  <c r="G18" i="21"/>
  <c r="F18" i="21"/>
  <c r="E18" i="21"/>
  <c r="D18" i="21"/>
  <c r="G25" i="18"/>
  <c r="F25" i="18"/>
  <c r="E25" i="18"/>
  <c r="D25" i="18"/>
  <c r="G13" i="18"/>
  <c r="F13" i="18"/>
  <c r="E13" i="18"/>
  <c r="D13" i="18"/>
  <c r="G8" i="18"/>
  <c r="F8" i="18"/>
  <c r="E8" i="18"/>
  <c r="D8" i="18"/>
  <c r="D10" i="22"/>
  <c r="E10" i="22" s="1"/>
  <c r="F10" i="22" s="1"/>
  <c r="G10" i="22" s="1"/>
  <c r="D9" i="22"/>
  <c r="E9" i="22" s="1"/>
  <c r="F9" i="22" s="1"/>
  <c r="G9" i="22" s="1"/>
  <c r="D30" i="14"/>
  <c r="E30" i="14" s="1"/>
  <c r="F30" i="14" s="1"/>
  <c r="G30" i="14" s="1"/>
  <c r="F5" i="21" l="1"/>
  <c r="E25" i="21"/>
  <c r="D13" i="15"/>
  <c r="D11" i="15" s="1"/>
  <c r="F62" i="15"/>
  <c r="D41" i="18"/>
  <c r="D43" i="18" s="1"/>
  <c r="D42" i="18" s="1"/>
  <c r="D44" i="18" s="1"/>
  <c r="E12" i="20" s="1"/>
  <c r="E41" i="18"/>
  <c r="G41" i="18"/>
  <c r="G43" i="18" s="1"/>
  <c r="G42" i="18" s="1"/>
  <c r="G44" i="18" s="1"/>
  <c r="H12" i="20" s="1"/>
  <c r="F41" i="18"/>
  <c r="F43" i="18" s="1"/>
  <c r="F42" i="18" s="1"/>
  <c r="F44" i="18" s="1"/>
  <c r="G12" i="20" s="1"/>
  <c r="E13" i="15"/>
  <c r="E11" i="15" s="1"/>
  <c r="F13" i="15"/>
  <c r="F11" i="15" s="1"/>
  <c r="G14" i="15"/>
  <c r="E43" i="18"/>
  <c r="E42" i="18" s="1"/>
  <c r="E44" i="18" s="1"/>
  <c r="F12" i="20" s="1"/>
  <c r="D10" i="14"/>
  <c r="E10" i="14" s="1"/>
  <c r="F10" i="14" s="1"/>
  <c r="G10" i="14" s="1"/>
  <c r="C11" i="22"/>
  <c r="D13" i="22"/>
  <c r="E13" i="22" s="1"/>
  <c r="F13" i="22" s="1"/>
  <c r="G13" i="22" s="1"/>
  <c r="G11" i="22" s="1"/>
  <c r="D8" i="22"/>
  <c r="E8" i="22" s="1"/>
  <c r="F8" i="22" s="1"/>
  <c r="G8" i="22" s="1"/>
  <c r="D7" i="22"/>
  <c r="E7" i="22" s="1"/>
  <c r="F7" i="22" s="1"/>
  <c r="G7" i="22" s="1"/>
  <c r="D5" i="22"/>
  <c r="E5" i="22" s="1"/>
  <c r="F5" i="22" s="1"/>
  <c r="G5" i="22" s="1"/>
  <c r="D4" i="22"/>
  <c r="E15" i="14"/>
  <c r="D15" i="14"/>
  <c r="D14" i="14"/>
  <c r="G18" i="14"/>
  <c r="F18" i="14"/>
  <c r="E18" i="14"/>
  <c r="D18" i="14"/>
  <c r="F8" i="16"/>
  <c r="G8" i="16" s="1"/>
  <c r="E8" i="16"/>
  <c r="E14" i="16"/>
  <c r="E30" i="16" s="1"/>
  <c r="G5" i="21" l="1"/>
  <c r="F24" i="21"/>
  <c r="F25" i="21" s="1"/>
  <c r="D13" i="14"/>
  <c r="E14" i="14"/>
  <c r="F14" i="14" s="1"/>
  <c r="G14" i="14" s="1"/>
  <c r="D11" i="22"/>
  <c r="F11" i="22"/>
  <c r="D6" i="22"/>
  <c r="E6" i="22" s="1"/>
  <c r="F6" i="22" s="1"/>
  <c r="G6" i="22" s="1"/>
  <c r="C3" i="22"/>
  <c r="C14" i="22" s="1"/>
  <c r="E4" i="22"/>
  <c r="E11" i="22"/>
  <c r="H14" i="15"/>
  <c r="H13" i="15" s="1"/>
  <c r="H11" i="15" s="1"/>
  <c r="G13" i="15"/>
  <c r="G11" i="15" s="1"/>
  <c r="E21" i="16"/>
  <c r="F14" i="16"/>
  <c r="F27" i="16" s="1"/>
  <c r="F15" i="14"/>
  <c r="G15" i="14" s="1"/>
  <c r="H8" i="16"/>
  <c r="H14" i="16" s="1"/>
  <c r="H21" i="16" s="1"/>
  <c r="G14" i="16"/>
  <c r="G21" i="16" s="1"/>
  <c r="E24" i="16"/>
  <c r="E27" i="16"/>
  <c r="E18" i="16"/>
  <c r="G26" i="14"/>
  <c r="G21" i="14" s="1"/>
  <c r="F26" i="14"/>
  <c r="F21" i="14" s="1"/>
  <c r="E26" i="14"/>
  <c r="E21" i="14" s="1"/>
  <c r="D26" i="14"/>
  <c r="D21" i="14" s="1"/>
  <c r="H5" i="21" l="1"/>
  <c r="H24" i="21" s="1"/>
  <c r="H25" i="21" s="1"/>
  <c r="G24" i="21"/>
  <c r="G25" i="21" s="1"/>
  <c r="D33" i="14"/>
  <c r="D49" i="14" s="1"/>
  <c r="D53" i="14" s="1"/>
  <c r="E13" i="14"/>
  <c r="E33" i="14" s="1"/>
  <c r="E49" i="14" s="1"/>
  <c r="G18" i="16"/>
  <c r="G36" i="16" s="1"/>
  <c r="G37" i="16" s="1"/>
  <c r="G42" i="16" s="1"/>
  <c r="G43" i="16" s="1"/>
  <c r="G27" i="16"/>
  <c r="F21" i="16"/>
  <c r="F24" i="16"/>
  <c r="F30" i="16"/>
  <c r="G30" i="16"/>
  <c r="G24" i="16"/>
  <c r="F18" i="16"/>
  <c r="D3" i="22"/>
  <c r="D14" i="22" s="1"/>
  <c r="F4" i="22"/>
  <c r="E3" i="22"/>
  <c r="E14" i="22" s="1"/>
  <c r="G13" i="14"/>
  <c r="G33" i="14" s="1"/>
  <c r="G49" i="14" s="1"/>
  <c r="G53" i="14" s="1"/>
  <c r="F13" i="14"/>
  <c r="F33" i="14" s="1"/>
  <c r="F49" i="14" s="1"/>
  <c r="H24" i="16"/>
  <c r="H18" i="16"/>
  <c r="H30" i="16"/>
  <c r="H27" i="16"/>
  <c r="E36" i="16"/>
  <c r="E37" i="16" s="1"/>
  <c r="E42" i="16" s="1"/>
  <c r="E43" i="16" s="1"/>
  <c r="C13" i="14"/>
  <c r="C13" i="18"/>
  <c r="F36" i="16" l="1"/>
  <c r="F37" i="16" s="1"/>
  <c r="F42" i="16" s="1"/>
  <c r="F43" i="16" s="1"/>
  <c r="E6" i="20"/>
  <c r="E14" i="20" s="1"/>
  <c r="E26" i="20" s="1"/>
  <c r="E53" i="14"/>
  <c r="F6" i="20"/>
  <c r="F53" i="14"/>
  <c r="G6" i="20"/>
  <c r="H6" i="20"/>
  <c r="H14" i="20" s="1"/>
  <c r="H26" i="20" s="1"/>
  <c r="G4" i="22"/>
  <c r="G3" i="22" s="1"/>
  <c r="G14" i="22" s="1"/>
  <c r="F3" i="22"/>
  <c r="F14" i="22" s="1"/>
  <c r="H36" i="16"/>
  <c r="H37" i="16" s="1"/>
  <c r="H42" i="16" s="1"/>
  <c r="H43" i="16" s="1"/>
  <c r="E13" i="20" l="1"/>
  <c r="G13" i="20"/>
  <c r="G14" i="20"/>
  <c r="G26" i="20" s="1"/>
  <c r="H13" i="20"/>
  <c r="F14" i="20"/>
  <c r="F26" i="20" s="1"/>
  <c r="F13" i="20"/>
  <c r="G6" i="11" l="1"/>
  <c r="G10" i="11"/>
  <c r="G10" i="10"/>
  <c r="C14" i="10"/>
  <c r="C13" i="10"/>
  <c r="C12" i="10"/>
  <c r="C11" i="10"/>
  <c r="C9" i="10"/>
  <c r="C10" i="10" l="1"/>
  <c r="C8" i="18" l="1"/>
  <c r="C25" i="18" l="1"/>
  <c r="C41" i="18" s="1"/>
  <c r="C43" i="18" l="1"/>
  <c r="C42" i="18" s="1"/>
  <c r="C44" i="18" s="1"/>
  <c r="D12" i="20" s="1"/>
  <c r="C16" i="10" l="1"/>
  <c r="C8" i="10" s="1"/>
  <c r="D8" i="10"/>
  <c r="G4" i="11" l="1"/>
  <c r="D82" i="37" l="1"/>
  <c r="D83" i="37" s="1"/>
  <c r="D68" i="37"/>
  <c r="D69" i="37" s="1"/>
  <c r="D48" i="37"/>
  <c r="D47" i="37"/>
  <c r="D46" i="37"/>
  <c r="D42" i="37"/>
  <c r="D41" i="37"/>
  <c r="D40" i="37"/>
  <c r="D38" i="37"/>
  <c r="D37" i="37"/>
  <c r="D35" i="37"/>
  <c r="D31" i="37"/>
  <c r="D30" i="37"/>
  <c r="D29" i="37"/>
  <c r="D28" i="37"/>
  <c r="D27" i="37"/>
  <c r="D26" i="37"/>
  <c r="D25" i="37"/>
  <c r="D24" i="37"/>
  <c r="D23" i="37"/>
  <c r="D22" i="37"/>
  <c r="D21" i="37"/>
  <c r="D18" i="37"/>
  <c r="D17" i="37"/>
  <c r="D16" i="37"/>
  <c r="D11" i="37"/>
  <c r="D10" i="37"/>
  <c r="D12" i="37" s="1"/>
  <c r="E20" i="2"/>
  <c r="E19" i="2"/>
  <c r="E27" i="2" l="1"/>
  <c r="E28" i="2"/>
  <c r="D13" i="37"/>
  <c r="D49" i="37" s="1"/>
  <c r="D50" i="37" s="1"/>
  <c r="D51" i="37" s="1"/>
  <c r="D85" i="37" s="1"/>
  <c r="E48" i="11" l="1"/>
  <c r="E33" i="11"/>
  <c r="E34" i="11" s="1"/>
  <c r="D46" i="11"/>
  <c r="D44" i="11"/>
  <c r="D43" i="11"/>
  <c r="D41" i="11"/>
  <c r="D40" i="11"/>
  <c r="D39" i="11"/>
  <c r="D29" i="11"/>
  <c r="D27" i="11"/>
  <c r="D24" i="11"/>
  <c r="D23" i="11"/>
  <c r="D22" i="11"/>
  <c r="D21" i="11"/>
  <c r="D20" i="11"/>
  <c r="D19" i="11"/>
  <c r="D45" i="11"/>
  <c r="D37" i="11"/>
  <c r="G5" i="11"/>
  <c r="D42" i="11" s="1"/>
  <c r="D38" i="11"/>
  <c r="G3" i="11"/>
  <c r="D15" i="11" s="1"/>
  <c r="E49" i="11" l="1"/>
  <c r="D14" i="11"/>
  <c r="D17" i="11"/>
  <c r="D25" i="11"/>
  <c r="D26" i="11"/>
  <c r="D28" i="11"/>
  <c r="D30" i="11"/>
  <c r="D31" i="11"/>
  <c r="D32" i="11"/>
  <c r="D35" i="11"/>
  <c r="D36" i="11"/>
  <c r="D33" i="11" l="1"/>
  <c r="D34" i="11" s="1"/>
  <c r="D47" i="11"/>
  <c r="D48" i="11" s="1"/>
  <c r="D49" i="11" l="1"/>
  <c r="C17" i="10" l="1"/>
  <c r="C18" i="10" l="1"/>
  <c r="G8" i="10"/>
  <c r="D25" i="21"/>
  <c r="C26" i="14"/>
  <c r="C21" i="14" s="1"/>
  <c r="C33" i="14" s="1"/>
  <c r="C49" i="14" l="1"/>
  <c r="C53" i="14" s="1"/>
  <c r="C19" i="10"/>
  <c r="D6" i="20" l="1"/>
  <c r="D18" i="16"/>
  <c r="D21" i="16"/>
  <c r="D24" i="16"/>
  <c r="D27" i="16"/>
  <c r="D30" i="16"/>
  <c r="D14" i="20" l="1"/>
  <c r="D26" i="20" s="1"/>
  <c r="D13" i="20"/>
  <c r="D36" i="16"/>
  <c r="D37" i="16" s="1"/>
  <c r="D43" i="16" l="1"/>
  <c r="C5" i="20"/>
  <c r="H5" i="15" l="1"/>
  <c r="H40" i="15" s="1"/>
  <c r="H66" i="15" s="1"/>
  <c r="D5" i="15"/>
  <c r="D40" i="15" s="1"/>
  <c r="D66" i="15" s="1"/>
  <c r="E5" i="15"/>
  <c r="E40" i="15" s="1"/>
  <c r="E66" i="15" s="1"/>
  <c r="G5" i="15"/>
  <c r="G40" i="15" s="1"/>
  <c r="G66" i="15" s="1"/>
  <c r="F5" i="15"/>
  <c r="F40" i="15" s="1"/>
  <c r="F66" i="15" s="1"/>
</calcChain>
</file>

<file path=xl/sharedStrings.xml><?xml version="1.0" encoding="utf-8"?>
<sst xmlns="http://schemas.openxmlformats.org/spreadsheetml/2006/main" count="1608" uniqueCount="927">
  <si>
    <t>№п.п.</t>
  </si>
  <si>
    <t>Должность</t>
  </si>
  <si>
    <t>Кол-во</t>
  </si>
  <si>
    <t>Коэффициент</t>
  </si>
  <si>
    <t>Ступень оплаты</t>
  </si>
  <si>
    <t>кол-во разрядов</t>
  </si>
  <si>
    <t>гр.1*гр.3</t>
  </si>
  <si>
    <t>Главный инженер</t>
  </si>
  <si>
    <t>Главный бухгалтер</t>
  </si>
  <si>
    <t>Экономист</t>
  </si>
  <si>
    <t>Бухгалтер по реализации</t>
  </si>
  <si>
    <t>Юрисконсульт</t>
  </si>
  <si>
    <t>Итого:</t>
  </si>
  <si>
    <t>Механик автохозяйства</t>
  </si>
  <si>
    <t>Оператор ЭВМ</t>
  </si>
  <si>
    <t>Слесарь по ремонту автомобилей</t>
  </si>
  <si>
    <t>Водитель ЗИЛ-130</t>
  </si>
  <si>
    <t>1.</t>
  </si>
  <si>
    <t>Уборщик служебных помещений</t>
  </si>
  <si>
    <t>2.</t>
  </si>
  <si>
    <t>Кладовщик</t>
  </si>
  <si>
    <t>3.</t>
  </si>
  <si>
    <t>Сторож</t>
  </si>
  <si>
    <t>7.</t>
  </si>
  <si>
    <t>Фельдшер</t>
  </si>
  <si>
    <t>Всего по штатному расписанию</t>
  </si>
  <si>
    <t>Нормативное штатное расписание выполнено в соответствии Рекомендациями по нормированию труда работников энергетического хозяйства часть 3 Нормативы численности рабртников коммунальных электроэнергетических предприятий Утвержденных Приказом Госстроя России от 3.04.2000г. № 68</t>
  </si>
  <si>
    <t>Расчет средней ступени по оплате труда</t>
  </si>
  <si>
    <t xml:space="preserve">Тарифный коэффициент </t>
  </si>
  <si>
    <t>Директор</t>
  </si>
  <si>
    <t>Показатель</t>
  </si>
  <si>
    <t>Единица измерения</t>
  </si>
  <si>
    <t>км</t>
  </si>
  <si>
    <t xml:space="preserve">Воздушная ЛЭП 6-10 кВ </t>
  </si>
  <si>
    <t>на ж\б опорах</t>
  </si>
  <si>
    <t>на металлических опорах</t>
  </si>
  <si>
    <t>на деревнных опорах с ж\б приставками</t>
  </si>
  <si>
    <t xml:space="preserve">на деревнных опорах </t>
  </si>
  <si>
    <t xml:space="preserve">Воздушная ЛЭП до 1000 В </t>
  </si>
  <si>
    <t xml:space="preserve">Кабельные линии до 1 кВ </t>
  </si>
  <si>
    <t xml:space="preserve">Кабельные линии до 6-10 кВ </t>
  </si>
  <si>
    <t>Мачтовые трансформаторные подстанции</t>
  </si>
  <si>
    <t>ед.</t>
  </si>
  <si>
    <t>Закрытые трансформаторные подстанции с одним трансформатором</t>
  </si>
  <si>
    <t>Закрытые трансформаторные подстанции с двумя  трансформаторами</t>
  </si>
  <si>
    <t>Распределительные  пункты с постоянным дежурством персонала</t>
  </si>
  <si>
    <t>Количество комплектов АПВ и АВР</t>
  </si>
  <si>
    <t xml:space="preserve">Количество присоединений на напряжение до 20 кВ </t>
  </si>
  <si>
    <t>с маслянным выключателем</t>
  </si>
  <si>
    <t>с выключателем нагрузки</t>
  </si>
  <si>
    <t>Кол-во масляных выключателей</t>
  </si>
  <si>
    <t>Кол-во выключателей нагрузки и разъединителей</t>
  </si>
  <si>
    <t>Механические мастерские</t>
  </si>
  <si>
    <t>Всего с учетом температурного коэффициента</t>
  </si>
  <si>
    <t>Всего с учетом  коэффициента невыходов</t>
  </si>
  <si>
    <t>Водители транспортного средства</t>
  </si>
  <si>
    <t>Рабочие текущего ремонта и обслуживания транспорта</t>
  </si>
  <si>
    <t>Уборщики служебных помещений</t>
  </si>
  <si>
    <t>Охрана круглосуточный режим работы</t>
  </si>
  <si>
    <t>чел.</t>
  </si>
  <si>
    <t>утверждены Приказом Госстроя России №68 от 03.04.2000г.</t>
  </si>
  <si>
    <t>до 200</t>
  </si>
  <si>
    <t>Итого</t>
  </si>
  <si>
    <t>Диспетчер</t>
  </si>
  <si>
    <t>Утверждаю</t>
  </si>
  <si>
    <t>_____________________Измайлова Л.М.</t>
  </si>
  <si>
    <t>Бухгалтер  по з/п, материалам</t>
  </si>
  <si>
    <t>Инспектор  по ОТ и ТБ</t>
  </si>
  <si>
    <t>Инженер по организации эксплуатации энергетического оборудования</t>
  </si>
  <si>
    <t>Инженер по расчету и распределению эл/ энергии</t>
  </si>
  <si>
    <t xml:space="preserve">Инспектор ОК </t>
  </si>
  <si>
    <t>Делопроизводитель</t>
  </si>
  <si>
    <t xml:space="preserve">Машинист 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</si>
  <si>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</si>
  <si>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</si>
  <si>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</si>
  <si>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</si>
  <si>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</si>
  <si>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</si>
  <si>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</si>
  <si>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</si>
  <si>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</si>
  <si>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</si>
  <si>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</si>
  <si>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</si>
  <si>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</si>
  <si>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</si>
  <si>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</si>
  <si>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</si>
  <si>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</si>
  <si>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</si>
  <si>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</si>
  <si>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</si>
  <si>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</si>
  <si>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</si>
  <si>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</si>
  <si>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</si>
  <si>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</si>
  <si>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</si>
  <si>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</si>
  <si>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</si>
  <si>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</si>
  <si>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</si>
  <si>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</si>
  <si>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</si>
  <si>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</si>
  <si>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</si>
  <si>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</si>
  <si>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</si>
  <si>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</si>
  <si>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</si>
  <si>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</si>
  <si>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</si>
  <si>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</si>
  <si>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</si>
  <si>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</si>
  <si>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</si>
  <si>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</si>
  <si>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</si>
  <si>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</si>
  <si>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</si>
  <si>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</si>
  <si>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</si>
  <si>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</si>
  <si>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</si>
  <si>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</si>
  <si>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</si>
  <si>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</si>
  <si>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</si>
  <si>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</si>
  <si>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</si>
  <si>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</si>
  <si>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</si>
  <si>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</si>
  <si>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</si>
  <si>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</si>
  <si>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</si>
  <si>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</si>
  <si>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</si>
  <si>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</si>
  <si>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</si>
  <si>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</si>
  <si>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</si>
  <si>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</si>
  <si>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</si>
  <si>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</si>
  <si>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</si>
  <si>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</si>
  <si>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</si>
  <si>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</si>
  <si>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п.п.</t>
  </si>
  <si>
    <t>Показатели</t>
  </si>
  <si>
    <t>Всего</t>
  </si>
  <si>
    <t>СН I</t>
  </si>
  <si>
    <t>СН II</t>
  </si>
  <si>
    <t>от других поставщиков (в т.ч. с оптового рынка)</t>
  </si>
  <si>
    <t>из смежной сети, всего</t>
  </si>
  <si>
    <t>в том числе из сети</t>
  </si>
  <si>
    <t>1.1.</t>
  </si>
  <si>
    <t>1.2.</t>
  </si>
  <si>
    <t xml:space="preserve">Баланс электрической энергии по сетям ВН, СН I, СН II и НН                                                                                                                    </t>
  </si>
  <si>
    <t xml:space="preserve">Поступление эл.энергии в сеть , ВСЕГО </t>
  </si>
  <si>
    <t>от электростанций ПЭ (ЭСО)</t>
  </si>
  <si>
    <t>1.3.</t>
  </si>
  <si>
    <t>1.4.</t>
  </si>
  <si>
    <t xml:space="preserve">поступление эл. энергии от других организаций </t>
  </si>
  <si>
    <t xml:space="preserve">Потери электроэнергии в сети </t>
  </si>
  <si>
    <t>то же в % (п.1.1/п.1.3)</t>
  </si>
  <si>
    <t>Расход электроэнергии на производственные и                                                                                                                                              хозяйственные нужды</t>
  </si>
  <si>
    <t>4.</t>
  </si>
  <si>
    <t xml:space="preserve">Полезный отпуск из сети </t>
  </si>
  <si>
    <t>4.1.</t>
  </si>
  <si>
    <t>в т.ч  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</si>
  <si>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</si>
  <si>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</si>
  <si>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</si>
  <si>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</si>
  <si>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</si>
  <si>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</si>
  <si>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</si>
  <si>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t>МУП "Электросеть"</t>
  </si>
  <si>
    <t>все</t>
  </si>
  <si>
    <t>ВЛ КЛ ТП</t>
  </si>
  <si>
    <t>КЛ ТП</t>
  </si>
  <si>
    <t>КЛ ВЛ</t>
  </si>
  <si>
    <t>КЛ</t>
  </si>
  <si>
    <t>ВЛ</t>
  </si>
  <si>
    <t>КЛ ВЛ ТП</t>
  </si>
  <si>
    <t>Вид работ</t>
  </si>
  <si>
    <t>Машина оперативная</t>
  </si>
  <si>
    <t>Машина диагностическая</t>
  </si>
  <si>
    <t>Экскаватор одноковшовый</t>
  </si>
  <si>
    <t>Экскаватор траншейный</t>
  </si>
  <si>
    <t>Машина кабелеукладочная</t>
  </si>
  <si>
    <t>Опоровоз</t>
  </si>
  <si>
    <t>Автоподъемник</t>
  </si>
  <si>
    <t>Кран автомобильный</t>
  </si>
  <si>
    <t>Трактор гусеничный</t>
  </si>
  <si>
    <t>ВЛ КЛ</t>
  </si>
  <si>
    <t>Машина для кронирования деревьев</t>
  </si>
  <si>
    <t>Машина грузовая</t>
  </si>
  <si>
    <t>Машина самосвал</t>
  </si>
  <si>
    <t>Трактор колесный</t>
  </si>
  <si>
    <t>Прицеп тракторный</t>
  </si>
  <si>
    <t>Автопогрузчик</t>
  </si>
  <si>
    <t>Гидромолот к экскаватору</t>
  </si>
  <si>
    <t>Агрегат электросварочный</t>
  </si>
  <si>
    <t>Компрессорная станция</t>
  </si>
  <si>
    <t>Бензопила</t>
  </si>
  <si>
    <t>Насос погружной</t>
  </si>
  <si>
    <t>Домкрат винтовой д/кабельных барабанов</t>
  </si>
  <si>
    <t>ВЛ ТП</t>
  </si>
  <si>
    <t>Установка для отогрева мерзлого грунта</t>
  </si>
  <si>
    <t>Расчет необходимых машин и механизмов</t>
  </si>
  <si>
    <t>Наименование машин и механизмов</t>
  </si>
  <si>
    <t xml:space="preserve">Количество на 1000 у.е.  объема работ по электрическим сетям в общем кол-ве до 3,2 </t>
  </si>
  <si>
    <t>Количество машин и механизмов к нормативу в условных единицах.</t>
  </si>
  <si>
    <t>Количество необходимых машин и механизмов</t>
  </si>
  <si>
    <t>Машина аварийно ремонтная</t>
  </si>
  <si>
    <t>Мастерская фургон для кабельных работ</t>
  </si>
  <si>
    <t>Машина бурильно -крановая</t>
  </si>
  <si>
    <t>Машина для ремонта эл. сетей</t>
  </si>
  <si>
    <t>Машина для комплексного ремонта воздушных линий</t>
  </si>
  <si>
    <t>итого</t>
  </si>
  <si>
    <t>итого с учетом коэф 1,2</t>
  </si>
  <si>
    <t>Транспортер для кабельных барабан</t>
  </si>
  <si>
    <t>Домкрат винтовой для выправки опор</t>
  </si>
  <si>
    <t>Бетоносместитель</t>
  </si>
  <si>
    <t>Итого механизмы</t>
  </si>
  <si>
    <t>Итого механизмы с учетом коэф 1,2</t>
  </si>
  <si>
    <t xml:space="preserve">Всего </t>
  </si>
  <si>
    <t xml:space="preserve">   Расчет произведен согласно нормативу и методическим указаниям  по определению потребности в машинах и механизмах для эксплуатации и ремонта коммунальных электрических сетей . Утвержденны  приказом Госстроя от 05.09.2000 г. №200</t>
  </si>
  <si>
    <t>для обслуживания электрических сетей  МУП "Электросеть"</t>
  </si>
  <si>
    <t>Наименование показателя</t>
  </si>
  <si>
    <t>5.</t>
  </si>
  <si>
    <t>Услуги связи</t>
  </si>
  <si>
    <t>6.</t>
  </si>
  <si>
    <t>8.</t>
  </si>
  <si>
    <t>9.</t>
  </si>
  <si>
    <t>10.</t>
  </si>
  <si>
    <t>11.</t>
  </si>
  <si>
    <t>№</t>
  </si>
  <si>
    <t>Ед. измер.</t>
  </si>
  <si>
    <t xml:space="preserve">Численность </t>
  </si>
  <si>
    <t xml:space="preserve">Численность ППП </t>
  </si>
  <si>
    <t>Средняя оплата труда</t>
  </si>
  <si>
    <t>2.1.</t>
  </si>
  <si>
    <t xml:space="preserve">Тарифная ставка рабочего 1 разряда </t>
  </si>
  <si>
    <t>руб.</t>
  </si>
  <si>
    <t>2.2.</t>
  </si>
  <si>
    <t>Дефлятор по заработной плате</t>
  </si>
  <si>
    <t>2.3.</t>
  </si>
  <si>
    <t xml:space="preserve">Среднемесячная тарифная ставка 1-го ППП </t>
  </si>
  <si>
    <t>2.4.</t>
  </si>
  <si>
    <t xml:space="preserve">Средняя ступень оплаты </t>
  </si>
  <si>
    <t>2.5.</t>
  </si>
  <si>
    <t>Тарифный коэффициент, соответствующий ступени по оплате труда</t>
  </si>
  <si>
    <t>2.6.</t>
  </si>
  <si>
    <t>Среднемесячная тарифная ставка ППП с учетом дефлятора</t>
  </si>
  <si>
    <t>2.7.</t>
  </si>
  <si>
    <t>Выплаты, связанные с режимом работы, с условиями труда 1 работника</t>
  </si>
  <si>
    <t>2.7.1.</t>
  </si>
  <si>
    <t>процент выплаты</t>
  </si>
  <si>
    <t>%</t>
  </si>
  <si>
    <t>2.7.2.</t>
  </si>
  <si>
    <t>сумма выплат</t>
  </si>
  <si>
    <t>2.8.</t>
  </si>
  <si>
    <t>Текущее премирование</t>
  </si>
  <si>
    <t>2.8.1.</t>
  </si>
  <si>
    <t>2.8.2.</t>
  </si>
  <si>
    <t>2.9.</t>
  </si>
  <si>
    <t>Прочие выплаты ()</t>
  </si>
  <si>
    <t>2.9.1.</t>
  </si>
  <si>
    <t>2.9.2.</t>
  </si>
  <si>
    <t>Прочие выплаты</t>
  </si>
  <si>
    <t>2.10.</t>
  </si>
  <si>
    <t>Вознаграждение за выслугу лет</t>
  </si>
  <si>
    <t>2.10.1.</t>
  </si>
  <si>
    <t>2.10.2.</t>
  </si>
  <si>
    <t>2.11.</t>
  </si>
  <si>
    <t>Выплаты по итогам года</t>
  </si>
  <si>
    <t>2.11.1.</t>
  </si>
  <si>
    <t>2.11.2.</t>
  </si>
  <si>
    <t>2.12.</t>
  </si>
  <si>
    <t>Выплаты по районному коэффициенту и северным надбавкам</t>
  </si>
  <si>
    <t>2.12.1.</t>
  </si>
  <si>
    <t>2.12.2.</t>
  </si>
  <si>
    <t>2.13.</t>
  </si>
  <si>
    <t>Итого среднемесячная оплата труда на 1 работника</t>
  </si>
  <si>
    <t xml:space="preserve">3. </t>
  </si>
  <si>
    <t>Расчет средств на оплату труда ППП (включенного в себестоимость)</t>
  </si>
  <si>
    <t>3.1.</t>
  </si>
  <si>
    <t>тыс.руб.</t>
  </si>
  <si>
    <t>3.2.</t>
  </si>
  <si>
    <t>3.3.</t>
  </si>
  <si>
    <t>Итого средств на оплату труда ППП</t>
  </si>
  <si>
    <t>Ср.месячная заработная плата с учетом проезда в отпуск</t>
  </si>
  <si>
    <t>Рост ср.мес.зарплаты к учтенной в тарифе</t>
  </si>
  <si>
    <t>Смета расходов, связанных с передачей электрической энергии по сетям</t>
  </si>
  <si>
    <t>Сырье, основные материалы</t>
  </si>
  <si>
    <t>из них на ремонт</t>
  </si>
  <si>
    <t xml:space="preserve"> ремонт  ФЗ 261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</si>
  <si>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</si>
  <si>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</si>
  <si>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</si>
  <si>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</si>
  <si>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</si>
  <si>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</si>
  <si>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</si>
  <si>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</si>
  <si>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</si>
  <si>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</si>
  <si>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</si>
  <si>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</si>
  <si>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</si>
  <si>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</si>
  <si>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</si>
  <si>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</si>
  <si>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</si>
  <si>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</si>
  <si>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</si>
  <si>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</si>
  <si>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</si>
  <si>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</si>
  <si>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</si>
  <si>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 xml:space="preserve">Другие затраты, относимые на себестоимость продукции,всего </t>
  </si>
  <si>
    <t xml:space="preserve"> 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</si>
  <si>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</si>
  <si>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</si>
  <si>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</si>
  <si>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</si>
  <si>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</si>
  <si>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</si>
  <si>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</si>
  <si>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</si>
  <si>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</si>
  <si>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</si>
  <si>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</si>
  <si>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</si>
  <si>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</si>
  <si>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</si>
  <si>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 без абонплаты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</si>
  <si>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</si>
  <si>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</si>
  <si>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</si>
  <si>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</si>
  <si>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</si>
  <si>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</si>
  <si>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</si>
  <si>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</si>
  <si>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</si>
  <si>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</si>
  <si>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прибыль</t>
  </si>
  <si>
    <t>Стоимость услуг</t>
  </si>
  <si>
    <t>НВВ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</si>
  <si>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</si>
  <si>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</si>
  <si>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</si>
  <si>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</si>
  <si>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</si>
  <si>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</si>
  <si>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</si>
  <si>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</si>
  <si>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услуги банка</t>
  </si>
  <si>
    <t>ИТОГО НЕПОДКОНРОЛЬНЫЕ РАСХОДЫ</t>
  </si>
  <si>
    <t>Расчет балансовой прибыли, принимаемой при установлении тарифов</t>
  </si>
  <si>
    <t xml:space="preserve"> Прибыль на развитие производства</t>
  </si>
  <si>
    <t>в том числе</t>
  </si>
  <si>
    <t xml:space="preserve"> Прибыль на социальное развитие</t>
  </si>
  <si>
    <t>доставка работников к месту работы</t>
  </si>
  <si>
    <t>оплата за лечение</t>
  </si>
  <si>
    <t>оплата путевок в санатории и лагеря</t>
  </si>
  <si>
    <t>резерв денежных средств на питание при ликвидации аварийных ситуаций</t>
  </si>
  <si>
    <t>оплата новогодних подарков</t>
  </si>
  <si>
    <t>проведение новогоднего утренника</t>
  </si>
  <si>
    <t>Прибыль на поощрение</t>
  </si>
  <si>
    <t>пособие при выходе на пенсию</t>
  </si>
  <si>
    <t>премирование к праздничным датам</t>
  </si>
  <si>
    <t>проведение  профессиональных праздников и вечеров</t>
  </si>
  <si>
    <t xml:space="preserve">оказание мат.помощи </t>
  </si>
  <si>
    <t>ритуальные услуги</t>
  </si>
  <si>
    <t>Дивиденды по акциям</t>
  </si>
  <si>
    <t>Прибыль на прочие цели</t>
  </si>
  <si>
    <t xml:space="preserve"> % за пользование  кредитом</t>
  </si>
  <si>
    <t>командировочные сверх нормы</t>
  </si>
  <si>
    <t>резервный фонд</t>
  </si>
  <si>
    <t>проездные без документов</t>
  </si>
  <si>
    <t>другие(проездные без документов)</t>
  </si>
  <si>
    <t xml:space="preserve">6. </t>
  </si>
  <si>
    <t>Прибыль, облагаемая налогом</t>
  </si>
  <si>
    <t>Налоги,сборы и платежи, всего</t>
  </si>
  <si>
    <t xml:space="preserve"> -на прибыль</t>
  </si>
  <si>
    <t xml:space="preserve">Прибыль (убыток)от товарной продукции, в том числе: </t>
  </si>
  <si>
    <t>Единицы измерения</t>
  </si>
  <si>
    <t>Предприятие</t>
  </si>
  <si>
    <t>Расходы, отнесенные на передачу электрической энергии (п.11 табл.П.1.18.2.)</t>
  </si>
  <si>
    <t>тыс. руб.</t>
  </si>
  <si>
    <t>СН</t>
  </si>
  <si>
    <t>в т.ч. СН1</t>
  </si>
  <si>
    <t>вт.ч. СН2</t>
  </si>
  <si>
    <t>Прибыль, отнесенная на передачу электрической энергии (п.8 табл.П.1.21.3)</t>
  </si>
  <si>
    <t>Рентабельность (п.2 / п.1 * 100%)</t>
  </si>
  <si>
    <t>Необходимая валовая выручка, отнесенная на передачу электрической энергии (п.1 + п.2)</t>
  </si>
  <si>
    <t xml:space="preserve">Среднемесячная за период                                           суммарная заявленная (расчетная) мощность потребителей в максимум нагрузки ОЭС </t>
  </si>
  <si>
    <t>МВт.мес</t>
  </si>
  <si>
    <t>Суммарная по ВН, СН и НН (п.1.1.+ п.1.2.+п.1.3. табл.П1.5.)</t>
  </si>
  <si>
    <t>Суммарная по СН и НН (п.1.2.+п.1.3. табл.П1.5.)</t>
  </si>
  <si>
    <t>Суммарная по СН1, СН2  и НН (п.1.2.+п.1.3. табл.П1.5.)</t>
  </si>
  <si>
    <t>Суммарная по СН2  и НН (п.1.2.+п.1.3. табл.П1.5.)</t>
  </si>
  <si>
    <t>В сети НН (п.1.3. табл.П1.5.)</t>
  </si>
  <si>
    <t>Ставка на содержание электрических сетей  на 1 МВт  заявленной (расчетной) мощности</t>
  </si>
  <si>
    <t>руб/МВт.мес.</t>
  </si>
  <si>
    <t>Таблица № П. 1.25.</t>
  </si>
  <si>
    <t xml:space="preserve">Ставка за электроэнергию тарифа покупки </t>
  </si>
  <si>
    <t>руб/МВтч</t>
  </si>
  <si>
    <t xml:space="preserve">2. </t>
  </si>
  <si>
    <t>Отпуск электрической энергии в сеть с учетом величины сальдо-перетока электроэнергии</t>
  </si>
  <si>
    <t>млн.кВтч</t>
  </si>
  <si>
    <t xml:space="preserve"> в т.ч.СН1</t>
  </si>
  <si>
    <t>в т.ч. СН2</t>
  </si>
  <si>
    <t xml:space="preserve">Потери электрической энергии </t>
  </si>
  <si>
    <t>Полезный отпуск электрической энергии</t>
  </si>
  <si>
    <t>Расходы на компенсацию потерь</t>
  </si>
  <si>
    <t>Ставка на оплату технологического расхода (потерь ) электрической энергии на ее передачу по сетям</t>
  </si>
  <si>
    <t>Основные материалы</t>
  </si>
  <si>
    <t>Приборы учета</t>
  </si>
  <si>
    <t>Материалы и инструмент для обеспечения электробезопасности</t>
  </si>
  <si>
    <t>на передачу электрической энергии  по МУП "Электросеть"</t>
  </si>
  <si>
    <t xml:space="preserve">Ср.месячная заработная плата учтенная </t>
  </si>
  <si>
    <t>Директор МУП "Электросеть"                          Измайлова Л.М.</t>
  </si>
  <si>
    <t>Работы и услуги производственного  характера</t>
  </si>
  <si>
    <t>Вспомогательные материалы (авто запчасти,приборы учета, материала электробезопасности)</t>
  </si>
  <si>
    <t>Необходимая валовая выручка на содержание электрических сетей МУП "Электросеть"</t>
  </si>
  <si>
    <t>Расчет ставки  по содержанию электрических сетей  МУП "Электросеть"</t>
  </si>
  <si>
    <t>таб 1.21</t>
  </si>
  <si>
    <t>оплата проезда к месту отдыха иждевенцы дети</t>
  </si>
  <si>
    <t>"О государственных гарантиях и компенсациях для лиц  работающих и проживающих в районах крайнего севера и приравненных к ним местностях "</t>
  </si>
  <si>
    <t>Проезд в отпуск  1 раз в 2 года  согласно ФЗ №50 от 02.04.2014 года.</t>
  </si>
  <si>
    <t xml:space="preserve">Расчет расходов на оплату труда </t>
  </si>
  <si>
    <t xml:space="preserve">Средства на  страхование автотехники </t>
  </si>
  <si>
    <t>Разработанно в соответствии  с рекомендациями о едином порядке оплаты труда по тарифным ставкам работников электроэнергетики  с учетом изменений и дополнений от 10 04.2008 г.</t>
  </si>
  <si>
    <t>Экономист МУП "Электросеть"</t>
  </si>
  <si>
    <t>шт.</t>
  </si>
  <si>
    <t>1</t>
  </si>
  <si>
    <t>проезд к месту отдыха</t>
  </si>
  <si>
    <t>Расчетный период</t>
  </si>
  <si>
    <t>Величина заявленной мощности МВ т</t>
  </si>
  <si>
    <t>Стоимость услуги по передаче 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</si>
  <si>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</si>
  <si>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</si>
  <si>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</si>
  <si>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</si>
  <si>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</si>
  <si>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</si>
  <si>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</si>
  <si>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</si>
  <si>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</si>
  <si>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</si>
  <si>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</si>
  <si>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</si>
  <si>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без НДС</t>
  </si>
  <si>
    <t>Норматив потерь э/э в сетях ФСК %</t>
  </si>
  <si>
    <t>Объем потерь э/э в сетях ФСК %</t>
  </si>
  <si>
    <t>Стоимость потерь э/э в рублях</t>
  </si>
  <si>
    <t xml:space="preserve">Плановая стоимость услуг по передаче электрической энергии </t>
  </si>
  <si>
    <t>ИТОГО</t>
  </si>
  <si>
    <t>Экономист МУП "Электросеть"                             Вернигорова А.Г.</t>
  </si>
  <si>
    <t>таб.1.16</t>
  </si>
  <si>
    <t>( 4 температурная зона)</t>
  </si>
  <si>
    <t>1. Расчет нормативной численности руководителей, специалистов, и служащих.</t>
  </si>
  <si>
    <t>Наименование функций управления</t>
  </si>
  <si>
    <t>Фактор влияния</t>
  </si>
  <si>
    <t>Количественное значение фактора</t>
  </si>
  <si>
    <t>Нормативная численность, чел.</t>
  </si>
  <si>
    <t>№ раздела сборника</t>
  </si>
  <si>
    <t>Нормативная численность на единицу</t>
  </si>
  <si>
    <t>1. Общее руководство</t>
  </si>
  <si>
    <t>Среднесписочная численность работников предприятия</t>
  </si>
  <si>
    <t>до 100</t>
  </si>
  <si>
    <t>2.1.1.</t>
  </si>
  <si>
    <t>2. Бухгалтерский учет и финансовая деятельность</t>
  </si>
  <si>
    <t>3. Комплектование и учет кадров</t>
  </si>
  <si>
    <t>4. Материально-техническое снабжение и хозяйственное обслуживание</t>
  </si>
  <si>
    <t>7. Производственно-техническая деятельность</t>
  </si>
  <si>
    <t>8. Организация охраны труда и техники безопасности</t>
  </si>
  <si>
    <t>9. Правовое обслуживание</t>
  </si>
  <si>
    <t>10.Технико-экономическое планирование, организация труда и заработной платы</t>
  </si>
  <si>
    <t>Количество абонентов(потребителей)</t>
  </si>
  <si>
    <t>2.1.2.</t>
  </si>
  <si>
    <t>12. Програмное обеспечение и системное администрирование вычислительной техники</t>
  </si>
  <si>
    <t>Количество компьютеров</t>
  </si>
  <si>
    <t>2.1.3.</t>
  </si>
  <si>
    <t>13. Оперативно-диспетчерское обслуживание</t>
  </si>
  <si>
    <t>Количество условных единиц</t>
  </si>
  <si>
    <t>Усл.ед.</t>
  </si>
  <si>
    <t>2.1.4.+ примечание  п.2</t>
  </si>
  <si>
    <t>до 3200 у.е.   1 чел.</t>
  </si>
  <si>
    <t>14. Организация ремонтно-эксплуатационного обслуживания, средств релейной защиты, автоматики,измерений,телемеханики, электронно-информационных устройств,испытания защитных средств, эксплуатации средств связи</t>
  </si>
  <si>
    <t>Количество обслуживаемых электроподстанций, МТП, РП,ТП</t>
  </si>
  <si>
    <t>2.1.5.</t>
  </si>
  <si>
    <t>15. Организация ремонта силовых трансформаторов, электротехнического оборудования и масляное хозяйство</t>
  </si>
  <si>
    <t>Количество трансформаторов, находящихся в эксплуатации</t>
  </si>
  <si>
    <t>2.1.6.</t>
  </si>
  <si>
    <t>до 250</t>
  </si>
  <si>
    <t>16. Организация ремонтно-эксплуатационного обслуживания оборудования,электроэнергетических устройств и сооружений</t>
  </si>
  <si>
    <t>Район № 1</t>
  </si>
  <si>
    <t>2.1.7.</t>
  </si>
  <si>
    <t>Объем работы района</t>
  </si>
  <si>
    <t xml:space="preserve">ИТОГО </t>
  </si>
  <si>
    <t>Всего с учетом  коэффициента невыходов =1,18</t>
  </si>
  <si>
    <t xml:space="preserve">2.Определение численности рабочих </t>
  </si>
  <si>
    <t>( Местность,приравненная к районам Крайнего Севера; поправочный коэффициент 1,18)</t>
  </si>
  <si>
    <t>Количественное значение</t>
  </si>
  <si>
    <t>2</t>
  </si>
  <si>
    <t>3</t>
  </si>
  <si>
    <t xml:space="preserve">Воздушная ЛЭП напряжением 35 кВ </t>
  </si>
  <si>
    <t>2.2.1.</t>
  </si>
  <si>
    <t>2.2.2.</t>
  </si>
  <si>
    <t>Концевые кабельные заделки воронки)</t>
  </si>
  <si>
    <t>2.2.3.</t>
  </si>
  <si>
    <t>2.2.4.</t>
  </si>
  <si>
    <t xml:space="preserve">Распределительные и фидерные пункты </t>
  </si>
  <si>
    <t>2.2.5.</t>
  </si>
  <si>
    <t>2.2.6.</t>
  </si>
  <si>
    <t>Количество абонентов (потребителей) бытового сектора</t>
  </si>
  <si>
    <t>2.2.7.</t>
  </si>
  <si>
    <t>-одноэтажная застройка</t>
  </si>
  <si>
    <t>-многоэтажная застройка</t>
  </si>
  <si>
    <t>Количество прочих абонентов (потребителей)</t>
  </si>
  <si>
    <t>2.2.8.</t>
  </si>
  <si>
    <t>2.2.10.</t>
  </si>
  <si>
    <t>усл. ед.</t>
  </si>
  <si>
    <t>2.2.12.</t>
  </si>
  <si>
    <t>3.Определение численности работников, обслуживающих нормативное количество машин и механизмов</t>
  </si>
  <si>
    <t>4.Определение численности МОП</t>
  </si>
  <si>
    <t>ИТОГО общая численность рабочих , работников автохозяйства и МОП</t>
  </si>
  <si>
    <t xml:space="preserve">Расчет произведен  согласно Рекомендаций по нормированию труда работников энергетического хозяйства, часть 3 </t>
  </si>
  <si>
    <t>А.Г.Вернигорова</t>
  </si>
  <si>
    <t>" ______  " _____________   20___год</t>
  </si>
  <si>
    <t>С-но специальной оценке условий труда</t>
  </si>
  <si>
    <t>ночные. с/урочные .праздничные</t>
  </si>
  <si>
    <t>учебный оттпуск,разъездной,б/лист</t>
  </si>
  <si>
    <t>Спецодежда</t>
  </si>
  <si>
    <t xml:space="preserve">Охрана труда в т.ч. </t>
  </si>
  <si>
    <t>ГСМ</t>
  </si>
  <si>
    <t>ВСЕГО</t>
  </si>
  <si>
    <t>Средства для уборки помещений</t>
  </si>
  <si>
    <t xml:space="preserve">Экономист 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</si>
  <si>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</si>
  <si>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</si>
  <si>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</si>
  <si>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</si>
  <si>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</si>
  <si>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</si>
  <si>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</si>
  <si>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</si>
  <si>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</si>
  <si>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</si>
  <si>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</si>
  <si>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9.8.1.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</si>
  <si>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</si>
  <si>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</si>
  <si>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</si>
  <si>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</si>
  <si>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</si>
  <si>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информационные услуги</t>
  </si>
  <si>
    <t>финансовый результат</t>
  </si>
  <si>
    <t>всего</t>
  </si>
  <si>
    <t>Целевые средства на НИОКР(расчет потерь, энергоаудит, инвестиционная программа)</t>
  </si>
  <si>
    <t>машины и механизмы</t>
  </si>
  <si>
    <t>капитальные вложения (инвест программа)</t>
  </si>
  <si>
    <t>спецпитание работникам с вахтовым методом с-но колдоговору и  ФЗ  от 03.12.12г № 227</t>
  </si>
  <si>
    <t xml:space="preserve">Экономист  </t>
  </si>
  <si>
    <t>Социально-бытовые нужды П/С Кенада 35 кВ</t>
  </si>
  <si>
    <t>Премирование к юбилеям</t>
  </si>
  <si>
    <t>Трансформаторы ТМГ</t>
  </si>
  <si>
    <t>таб.1.15</t>
  </si>
  <si>
    <t>Таб. № 1.24</t>
  </si>
  <si>
    <t>Машинист  АГП 22-04 ЗИЛ-433362</t>
  </si>
  <si>
    <t>Машинист (СКБМ-1) на базе ЗИЛ-131</t>
  </si>
  <si>
    <t xml:space="preserve">2016 год </t>
  </si>
  <si>
    <t>таб.1.4</t>
  </si>
  <si>
    <t xml:space="preserve"> Стоимость Материалов  всего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</si>
  <si>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</si>
  <si>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</si>
  <si>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</si>
  <si>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</si>
  <si>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</si>
  <si>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</si>
  <si>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</si>
  <si>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</si>
  <si>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</si>
  <si>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</si>
  <si>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</si>
  <si>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</si>
  <si>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</si>
  <si>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</si>
  <si>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</si>
  <si>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</si>
  <si>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</si>
  <si>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</si>
  <si>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</si>
  <si>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</si>
  <si>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</si>
  <si>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</si>
  <si>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</si>
  <si>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</si>
  <si>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</si>
  <si>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</si>
  <si>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</si>
  <si>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</si>
  <si>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</si>
  <si>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</si>
  <si>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</si>
  <si>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</si>
  <si>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</si>
  <si>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</si>
  <si>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</si>
  <si>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</si>
  <si>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</si>
  <si>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</si>
  <si>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</si>
  <si>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</si>
  <si>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</si>
  <si>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</si>
  <si>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</si>
  <si>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</si>
  <si>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</si>
  <si>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</si>
  <si>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</si>
  <si>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</si>
  <si>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</si>
  <si>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</si>
  <si>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</si>
  <si>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</si>
  <si>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</si>
  <si>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</si>
  <si>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</si>
  <si>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</si>
  <si>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</si>
  <si>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</si>
  <si>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Прочие расходы их прибыли</t>
  </si>
  <si>
    <t>4.1</t>
  </si>
  <si>
    <t>4.2</t>
  </si>
  <si>
    <t>4.3</t>
  </si>
  <si>
    <t>4.4</t>
  </si>
  <si>
    <t>5.1</t>
  </si>
  <si>
    <t>Оплата услуг ОАО "ФСК ЕЭС"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</si>
  <si>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</si>
  <si>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</si>
  <si>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</si>
  <si>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</si>
  <si>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</si>
  <si>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</si>
  <si>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</si>
  <si>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</si>
  <si>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</si>
  <si>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</si>
  <si>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</si>
  <si>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</si>
  <si>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</si>
  <si>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</si>
  <si>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</si>
  <si>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</si>
  <si>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</si>
  <si>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</si>
  <si>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</si>
  <si>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</si>
  <si>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</si>
  <si>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</si>
  <si>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</si>
  <si>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</si>
  <si>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</si>
  <si>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</si>
  <si>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</si>
  <si>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</si>
  <si>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</si>
  <si>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</si>
  <si>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</si>
  <si>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</si>
  <si>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</si>
  <si>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</si>
  <si>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</si>
  <si>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</si>
  <si>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 xml:space="preserve">на содержание объектов электросетевого хозяйства, </t>
  </si>
  <si>
    <t>входящих в ЕНЭС</t>
  </si>
  <si>
    <t xml:space="preserve">Плановая стоимость нормативных потерь (технологического расхода электроэнергии   </t>
  </si>
  <si>
    <t>Таблица 1. Определение величины и уровня потерь электроэнергии при ее передаче по электрическим сетям территориальной сетевой организации</t>
  </si>
  <si>
    <t>(наименование территориальной сетевой организации)</t>
  </si>
  <si>
    <t>Ед. измерения</t>
  </si>
  <si>
    <t>В том числе по уровню напряжения</t>
  </si>
  <si>
    <t xml:space="preserve">Поступление в сеть из других организаций, в том числе: </t>
  </si>
  <si>
    <t>тыс. кВт ч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</si>
  <si>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</si>
  <si>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</si>
  <si>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</si>
  <si>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</si>
  <si>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>Отпуск электроэнергии в сеть</t>
  </si>
  <si>
    <t>Фактические потери электроэнергии</t>
  </si>
  <si>
    <t>Протяженность линий (воздушных и кабельных) электропередачи в одноцепном выражении</t>
  </si>
  <si>
    <t>Соотношение протяженности воздушных и кабельных линий электропередачи в одноцепном выражении (доля ВЛ)</t>
  </si>
  <si>
    <t>Примечание:</t>
  </si>
  <si>
    <t>Данные о поступлении в сеть в базовом периоде принимаются в соответствии с отчетной формой № 46-ЭЭ (передача)</t>
  </si>
  <si>
    <t>9.9.</t>
  </si>
  <si>
    <t>Агент по снабжению</t>
  </si>
  <si>
    <t>Коэффициент для участков линий, проходящих по труднопроходимым трассам</t>
  </si>
  <si>
    <t>Водители спецтранспорта</t>
  </si>
  <si>
    <t>на деревяных опорах с ж\б приставками</t>
  </si>
  <si>
    <t xml:space="preserve">на деревяных опорах </t>
  </si>
  <si>
    <t>Примечание: В связи с принятием ЛЭП 35 кВ Высокогорный-Кенада с подстанцией 35/10кВ "Кенада" организован распределительный пункт с постоянным дежурством персонала вахтовым методом (удаленность)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</si>
  <si>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</si>
  <si>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</si>
  <si>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</si>
  <si>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</si>
  <si>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</si>
  <si>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</si>
  <si>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>2016 год факт</t>
  </si>
  <si>
    <t>2019 год</t>
  </si>
  <si>
    <t>2020 год</t>
  </si>
  <si>
    <t>2021 год</t>
  </si>
  <si>
    <t>2022 год</t>
  </si>
  <si>
    <t>Среднесписочная численность рабочих района</t>
  </si>
  <si>
    <t>ФЗ №44 от 05.04.2013 О контрактной системе в сфере закупок, работ, услуг для обеспсечния  государственных и муниципальных служб</t>
  </si>
  <si>
    <t>10.Организация закупок</t>
  </si>
  <si>
    <t>11. Организация сбыта, контроль за рациональным использованием  энергии</t>
  </si>
  <si>
    <t>6. Общее делопроизводство</t>
  </si>
  <si>
    <t>Водители оперативной машины</t>
  </si>
  <si>
    <t>Специалист по закупкам</t>
  </si>
  <si>
    <t>выплата пособия матерям по уходу за детьми от 1,5 до 3-х лет</t>
  </si>
  <si>
    <t>Механик автохозяйства (Приказ Минтранса России от 15.01.2014г. № 7</t>
  </si>
  <si>
    <t>Мастер по эксплуатации распределительных сетей</t>
  </si>
  <si>
    <t>Электромонтер  гр.раб 4  по обслуживанию  эл.подстанции       35 кВ</t>
  </si>
  <si>
    <t>Техник по эксплуатации энергетического оборудования</t>
  </si>
  <si>
    <t>1,44-1,53-1,62-1,72-1,82</t>
  </si>
  <si>
    <t>Всего вспомогательные материалы</t>
  </si>
  <si>
    <t>Канцтовары, бумага</t>
  </si>
  <si>
    <t>Компьютеры, програмное обеспечение, расходные материалы</t>
  </si>
  <si>
    <t>Капитальные вложения (инвестиционная программа)</t>
  </si>
  <si>
    <t>прибыль (инвестиционная программа)</t>
  </si>
  <si>
    <t>прибыль на социальные нужды</t>
  </si>
  <si>
    <t>2022год.</t>
  </si>
  <si>
    <t>Примечание.При расчете условных единиц протяженности ВЛЭП-0,4кВ от линии до</t>
  </si>
  <si>
    <t>ввода в здание не учитывается</t>
  </si>
  <si>
    <t>Условные единицы по ВЛЭП-0,4 кВ учитываются трудозатраты на обслуживание и ремонт</t>
  </si>
  <si>
    <t>а) воздушных линий в здание</t>
  </si>
  <si>
    <t>б)линий с совместной подвеской проводов.</t>
  </si>
  <si>
    <t xml:space="preserve">Условные единицы по ВЛЭП 0,4*20кВ учитывают трудозатраты оперативного персонала </t>
  </si>
  <si>
    <t>распределительных сетей 0,4-20 кВ.</t>
  </si>
  <si>
    <t>Кабельные вводы учтны в условных единицах КЛЭП напряжением до 1 кВ.</t>
  </si>
  <si>
    <t>исп.инженер Сорокина Т.А.</t>
  </si>
  <si>
    <t>т.8(42137)72574</t>
  </si>
  <si>
    <t>на 2023-2027 годы</t>
  </si>
  <si>
    <t>Базовый период (2021 год)</t>
  </si>
  <si>
    <t>Сумма номинальных мощностей силовых трансформаторов</t>
  </si>
  <si>
    <t>МВ·А</t>
  </si>
  <si>
    <t xml:space="preserve">    в том числе протяженность воздушных линий электропередачи в одноцепном выражении</t>
  </si>
  <si>
    <t xml:space="preserve">Отношение отпуска электроэнергии в сеть к суммарной протяженности </t>
  </si>
  <si>
    <t>тыс. кВт·ч/км</t>
  </si>
  <si>
    <t xml:space="preserve">Отношение отпуска электроэнергии в сеть к суммарной протяженности к суммы номинальных мощностей силовых трансформаторов </t>
  </si>
  <si>
    <t>тыс. кВт·ч/МВ·А</t>
  </si>
  <si>
    <t>Норматив потерь электроэнергии по приказу Минэнерго России от 2609.2017 № 887</t>
  </si>
  <si>
    <r>
      <t>Минимальное значение из норматива потерь и фактичских потерь электрической энергии (</t>
    </r>
    <r>
      <rPr>
        <b/>
        <sz val="11"/>
        <color theme="1" tint="0.14999847407452621"/>
        <rFont val="Times New Roman"/>
        <family val="1"/>
        <charset val="204"/>
      </rPr>
      <t>n</t>
    </r>
    <r>
      <rPr>
        <sz val="11"/>
        <color theme="1" tint="0.14999847407452621"/>
        <rFont val="Times New Roman"/>
        <family val="1"/>
        <charset val="204"/>
      </rPr>
      <t>)</t>
    </r>
  </si>
  <si>
    <t>Плановый отпуск электрической энергии в сеть</t>
  </si>
  <si>
    <t>Величина потерь электрической энергии</t>
  </si>
  <si>
    <r>
      <t>Уровень потерь электрической энергии при ее передаче по электрическим сетям (</t>
    </r>
    <r>
      <rPr>
        <b/>
        <sz val="11"/>
        <color theme="1" tint="0.14999847407452621"/>
        <rFont val="Times New Roman"/>
        <family val="1"/>
        <charset val="204"/>
      </rPr>
      <t>N</t>
    </r>
    <r>
      <rPr>
        <sz val="11"/>
        <color theme="1" tint="0.14999847407452621"/>
        <rFont val="Times New Roman"/>
        <family val="1"/>
        <charset val="204"/>
      </rPr>
      <t xml:space="preserve">) </t>
    </r>
  </si>
  <si>
    <t xml:space="preserve"> на  2023-2027 годы</t>
  </si>
  <si>
    <t>Муниципальное унитарное предприятие Ванинского муниципального района  "Электросеть"</t>
  </si>
  <si>
    <t>Количество электросчетчиков</t>
  </si>
  <si>
    <t>Однофазные</t>
  </si>
  <si>
    <t>Трехфазные</t>
  </si>
  <si>
    <t>2.2.9.</t>
  </si>
  <si>
    <t>Отчет об использовании за 2015-2020 годы</t>
  </si>
  <si>
    <t xml:space="preserve">2017 год </t>
  </si>
  <si>
    <t>2017 год факт</t>
  </si>
  <si>
    <t xml:space="preserve">2018 год </t>
  </si>
  <si>
    <t>2018 год факт</t>
  </si>
  <si>
    <t>2019 год факт</t>
  </si>
  <si>
    <t>2020 год факт</t>
  </si>
  <si>
    <t>Прочие расходы из прибыли</t>
  </si>
  <si>
    <t>Плата за аренду имущества и лизинг</t>
  </si>
  <si>
    <t>Корректировка НВВ с учетом понижающего(повышающего) коэффициента (КНКi)</t>
  </si>
  <si>
    <t>8</t>
  </si>
  <si>
    <t>Факт, принятый комитетом 2020 год</t>
  </si>
  <si>
    <t>Факт 2017 года</t>
  </si>
  <si>
    <t>2018 год-план</t>
  </si>
  <si>
    <t>Факт 2018 года</t>
  </si>
  <si>
    <t>2019 год-план</t>
  </si>
  <si>
    <t>Факт 2019 года</t>
  </si>
  <si>
    <t>2020 год-план</t>
  </si>
  <si>
    <t>Факт 2020 года</t>
  </si>
  <si>
    <t>в т.ч. Плата за аренду имущества и лизинг</t>
  </si>
  <si>
    <t>Денежные выплаты социального характера</t>
  </si>
  <si>
    <t>14.1.</t>
  </si>
  <si>
    <t>14.2.</t>
  </si>
  <si>
    <t>НВВ на содержание электрических сетей</t>
  </si>
  <si>
    <t>Покупка электроэнергии на компенсацию потерь</t>
  </si>
  <si>
    <t>НВВ от регулируемой деятельности</t>
  </si>
  <si>
    <t>Выручка</t>
  </si>
  <si>
    <t>Финансовый результат (убыток)</t>
  </si>
  <si>
    <t>(-3234,1)</t>
  </si>
  <si>
    <t>(-3729,77)</t>
  </si>
  <si>
    <t>(-37774)</t>
  </si>
  <si>
    <t>(-12930)</t>
  </si>
  <si>
    <t>Расчет по  договору №959/п ОАО "ФСК ЕЭС"</t>
  </si>
  <si>
    <t>Ставка руб. /МВт мес.*</t>
  </si>
  <si>
    <t>Прием в сеть э/э МВт*ч</t>
  </si>
  <si>
    <t xml:space="preserve"> Фактические доходы, полученные за услуги по передаче эл.энергии МУП "Электросеть"</t>
  </si>
  <si>
    <t>по двухставочному тарифу</t>
  </si>
  <si>
    <t xml:space="preserve"> за 2021 год</t>
  </si>
  <si>
    <t>Всего, полезный отпуск</t>
  </si>
  <si>
    <t>ВСЕГО с НДС</t>
  </si>
  <si>
    <t>месяцы</t>
  </si>
  <si>
    <t>тыс квт.ч</t>
  </si>
  <si>
    <t>сумма без НДС</t>
  </si>
  <si>
    <t>заявл.мощность</t>
  </si>
  <si>
    <t>ставка на содерж.сетей</t>
  </si>
  <si>
    <t>Доходы на содерж.сетей (НВВ)</t>
  </si>
  <si>
    <t>ставка на оплату потерь</t>
  </si>
  <si>
    <t>Доходы на передачу  (потери)</t>
  </si>
  <si>
    <t>Информация</t>
  </si>
  <si>
    <t>о затратах  МУП "Электросеть"   на покупку потерь,</t>
  </si>
  <si>
    <t>о стоимости и о размере фактических потерь в 2021 году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</si>
  <si>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</si>
  <si>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</si>
  <si>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</si>
  <si>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период</t>
  </si>
  <si>
    <t>Объем электроэнергии, приобретенной в целях компенсации потерь в сетях, квт.ч</t>
  </si>
  <si>
    <t>Объем электроэнергии, приобретенной в целях компенсации потерь в сетях, квт.ч   норматив</t>
  </si>
  <si>
    <t>Сумма затрат, без НДС , руб.</t>
  </si>
  <si>
    <t>Тариф норм.</t>
  </si>
  <si>
    <t>Объем электроэнергии, приобретенной в целях компенсации потерь в сетях, квт.ч   сверхнорматив</t>
  </si>
  <si>
    <t>Тариф сверхнорм.</t>
  </si>
  <si>
    <t>Сумма затрат, без НДС , руб.   ВСЕГО</t>
  </si>
  <si>
    <t>ндс</t>
  </si>
  <si>
    <t>Сумма затрат, руб.   ВСЕГО с НДС</t>
  </si>
  <si>
    <t>Расходы, связанные с передачей эл.энергии ПАО "ФСК ЕЭС" для МУП "Электросеть"</t>
  </si>
  <si>
    <t>факт</t>
  </si>
  <si>
    <t>начислено с НДС</t>
  </si>
  <si>
    <t>квт.ч</t>
  </si>
  <si>
    <t>Расходы на содерж.сетей</t>
  </si>
  <si>
    <t>Расходы на передачу</t>
  </si>
  <si>
    <t>2021 год-план</t>
  </si>
  <si>
    <t>Факт 2021 года</t>
  </si>
  <si>
    <t>2021 год факт</t>
  </si>
  <si>
    <t>Расчет нормативной численности работников МУП "Электросеть"              2023 год.</t>
  </si>
  <si>
    <t>2023г.</t>
  </si>
  <si>
    <t>2024г</t>
  </si>
  <si>
    <t>2025г</t>
  </si>
  <si>
    <t>2026г</t>
  </si>
  <si>
    <t>2027г</t>
  </si>
  <si>
    <t>месяц</t>
  </si>
  <si>
    <t>тариф</t>
  </si>
  <si>
    <t>гкал</t>
  </si>
  <si>
    <t>итого стоимость</t>
  </si>
  <si>
    <t>апель</t>
  </si>
  <si>
    <t>с НДС</t>
  </si>
  <si>
    <t>Сумма с НДС</t>
  </si>
  <si>
    <t>Итого с НДС</t>
  </si>
  <si>
    <t>2023 год</t>
  </si>
  <si>
    <t>Тариф  на оплату потерь руб/МВт*ч (средний по факту за 2021 год)</t>
  </si>
  <si>
    <t>Всего затрат  по ОАО "ФСК" на  2023 год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</si>
  <si>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на ее транспортировку)</t>
    </r>
    <r>
      <rPr>
        <sz val="11"/>
        <color theme="1"/>
        <rFont val="Calibri"/>
        <family val="2"/>
        <charset val="204"/>
        <scheme val="minor"/>
      </rPr>
      <t xml:space="preserve"> при передаче электрической энергии на 2023 год.</t>
    </r>
  </si>
  <si>
    <t>Тариф  на оплату потерь руб/МВт*ч (средний по факту за 2021 год)*5,5%</t>
  </si>
  <si>
    <t>С НДС</t>
  </si>
  <si>
    <t>*Прим.: Тариф на 2023 год = тариф 2 полугодия 2022г. увеличила на 6,3%</t>
  </si>
  <si>
    <t>Всего затрат  по ОАО "ФСК" на  2023 год с НДС</t>
  </si>
  <si>
    <t>Расчет средств, необходимых для оплаты тепловой энергии в 2023 году, согласно Соглашению № 1 к договору от 15 апреля 2022г.            № ИКС-В-ТС-МБ-69-2022</t>
  </si>
  <si>
    <t>2024 год</t>
  </si>
  <si>
    <t>2025 год</t>
  </si>
  <si>
    <t>2026 год</t>
  </si>
  <si>
    <t>2027 год</t>
  </si>
  <si>
    <t>2021 год(т.руб) факт</t>
  </si>
  <si>
    <t>Вспомогательные материалы (для автотранспорта)( в том числе спецжидкости)</t>
  </si>
  <si>
    <t>Условные единицы  2189,36</t>
  </si>
  <si>
    <t>ИТОГО нормативная численность работников МУП "Электросеть" на 2023 год составляет 110 человек.</t>
  </si>
  <si>
    <t>Системный администратор ИКС</t>
  </si>
  <si>
    <t>Административно-управленческий персонал</t>
  </si>
  <si>
    <t>Специалист-помощник юрисконсульта</t>
  </si>
  <si>
    <t>Всего:</t>
  </si>
  <si>
    <t>Бухгалтерия</t>
  </si>
  <si>
    <t>Производственно-технический отдел</t>
  </si>
  <si>
    <t>Начальник отдела</t>
  </si>
  <si>
    <t>Отдел распределения электроэнергии</t>
  </si>
  <si>
    <t>Инженер по эксплуатации электросчетчиков</t>
  </si>
  <si>
    <t>Электромонтер по эксплуатации эл.счетчиков</t>
  </si>
  <si>
    <t>Отдел электротехнических испытаний</t>
  </si>
  <si>
    <t>Инженер по измерениям и испытаниям</t>
  </si>
  <si>
    <t>Электромонтер по измерениям и испытаниям</t>
  </si>
  <si>
    <t>Дежурно-диспетчерская служба</t>
  </si>
  <si>
    <t>Старший диспетчер</t>
  </si>
  <si>
    <t>Электромонтер-водитель</t>
  </si>
  <si>
    <t>Отдел механизации и транспорта</t>
  </si>
  <si>
    <t>Электрогазосварщик</t>
  </si>
  <si>
    <t>Водитель БКМ 317</t>
  </si>
  <si>
    <t>Водитель HYUNDAI E MIGHTY</t>
  </si>
  <si>
    <t>Водитель "Исудзу эльф"</t>
  </si>
  <si>
    <t>Водитель</t>
  </si>
  <si>
    <t>Ремонтно-эксплуатационный участок</t>
  </si>
  <si>
    <t>Бригадир</t>
  </si>
  <si>
    <t>Электромонтер по эксплуатации распределительных сетей гр.раб 2</t>
  </si>
  <si>
    <t>Электромонтер по эксплуатации распределительных сетей гр.раб 3</t>
  </si>
  <si>
    <t>Электромонтер по эксплуатации распределительных сетей гр.раб 4</t>
  </si>
  <si>
    <t>Младший обслуживающий персонал</t>
  </si>
  <si>
    <t>Медработник</t>
  </si>
  <si>
    <t>человек</t>
  </si>
  <si>
    <t>Штатное расписание  МУП "Электросеть" с 01.01.2023год</t>
  </si>
  <si>
    <t>Водитель ЭТЛ</t>
  </si>
  <si>
    <t xml:space="preserve">563/110=            </t>
  </si>
  <si>
    <t>предприятие 2023 год</t>
  </si>
  <si>
    <t>предприятие 2024 год</t>
  </si>
  <si>
    <t>предприятие 2025 год</t>
  </si>
  <si>
    <t>предприятие 2026 год</t>
  </si>
  <si>
    <t>предприятие 2027 год</t>
  </si>
  <si>
    <t xml:space="preserve">2023 год   </t>
  </si>
  <si>
    <t>2027год</t>
  </si>
  <si>
    <t>2023год.</t>
  </si>
  <si>
    <t>2025год</t>
  </si>
  <si>
    <t>2026год</t>
  </si>
  <si>
    <t>Гл.инженер МУП "Электросеть"                          Измайлова Л.М.</t>
  </si>
  <si>
    <t>МУП "Электросеть" 2023-2027  годы.</t>
  </si>
  <si>
    <t>Ставка за электроэнергию тарифа покупки на 2023 год составляет тариф на 2022 год * 1,05*1,2 , гле 1,2 ставка НДС..</t>
  </si>
  <si>
    <t xml:space="preserve">Расчет ставки по оплате технологического расхода (потерь)электрической энергии на ее передачу по сетям МУП "Электросеть" </t>
  </si>
  <si>
    <t>на 2023-2027 гг.</t>
  </si>
  <si>
    <t>Гл. инженер  МУП "Электросеть"</t>
  </si>
  <si>
    <t>Расходы, связанные с компенсацией незапланированных расходов (программа энергосбережения)</t>
  </si>
  <si>
    <t>Недополученный по независящим причинам доход (программа энергочсбережения)</t>
  </si>
  <si>
    <t>Выпадающие доходы от технологтческого присоединения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</si>
</sst>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0.000"/>
    <numFmt numFmtId="166" formatCode="0.0000"/>
    <numFmt numFmtId="167" formatCode="#,##0.0"/>
    <numFmt numFmtId="168" formatCode="#,##0.000"/>
    <numFmt numFmtId="169" formatCode="0.000%"/>
    <numFmt numFmtId="170" formatCode="0.0"/>
    <numFmt numFmtId="171" formatCode="0.00000"/>
    <numFmt numFmtId="172" formatCode="0.00000%"/>
  </numFmts>
  <fonts count="8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i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"/>
      <color indexed="10"/>
      <name val="Times New Roman Cyr"/>
      <family val="1"/>
      <charset val="204"/>
    </font>
    <font>
      <b/>
      <sz val="8"/>
      <name val="Times New Roman Cyr"/>
      <family val="1"/>
      <charset val="204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1"/>
      <color indexed="10"/>
      <name val="Times New Roman CYR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Calibri"/>
      <family val="2"/>
      <charset val="204"/>
      <scheme val="minor"/>
    </font>
    <font>
      <b/>
      <sz val="8.5"/>
      <name val="Arial Cyr"/>
      <charset val="204"/>
    </font>
    <font>
      <sz val="8.5"/>
      <name val="Arial Cyr"/>
      <charset val="204"/>
    </font>
    <font>
      <sz val="8.5"/>
      <color theme="1"/>
      <name val="Arial"/>
      <family val="2"/>
      <charset val="204"/>
    </font>
    <font>
      <b/>
      <sz val="8.5"/>
      <color theme="1"/>
      <name val="Calibri"/>
      <family val="2"/>
      <scheme val="minor"/>
    </font>
    <font>
      <b/>
      <sz val="8.5"/>
      <color theme="1"/>
      <name val="Calibri"/>
      <family val="2"/>
      <charset val="204"/>
      <scheme val="minor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 tint="0.1499984740745262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 tint="0.14999847407452621"/>
      <name val="Times New Roman"/>
      <family val="1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Times New Roman Cyr"/>
      <charset val="204"/>
    </font>
    <font>
      <sz val="7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4" tint="0.79995117038483843"/>
      </patternFill>
    </fill>
    <fill>
      <patternFill patternType="lightUp">
        <bgColor theme="6" tint="0.79995117038483843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9" fontId="17" fillId="0" borderId="0" applyFont="0" applyFill="0" applyBorder="0" applyAlignment="0" applyProtection="0"/>
    <xf numFmtId="0" fontId="19" fillId="0" borderId="0" applyBorder="0">
      <alignment horizontal="center" vertical="center" wrapText="1"/>
    </xf>
    <xf numFmtId="0" fontId="21" fillId="0" borderId="19" applyBorder="0">
      <alignment horizontal="center" vertical="center" wrapText="1"/>
    </xf>
    <xf numFmtId="4" fontId="22" fillId="3" borderId="8" applyBorder="0">
      <alignment horizontal="right"/>
    </xf>
    <xf numFmtId="4" fontId="22" fillId="4" borderId="0" applyBorder="0">
      <alignment horizontal="right"/>
    </xf>
    <xf numFmtId="4" fontId="22" fillId="5" borderId="31" applyBorder="0">
      <alignment horizontal="right"/>
    </xf>
    <xf numFmtId="0" fontId="5" fillId="0" borderId="0"/>
    <xf numFmtId="0" fontId="24" fillId="0" borderId="0"/>
    <xf numFmtId="0" fontId="5" fillId="0" borderId="0"/>
    <xf numFmtId="0" fontId="64" fillId="0" borderId="0"/>
    <xf numFmtId="0" fontId="5" fillId="0" borderId="0"/>
    <xf numFmtId="49" fontId="22" fillId="0" borderId="0" applyBorder="0">
      <alignment vertical="top"/>
    </xf>
    <xf numFmtId="0" fontId="5" fillId="0" borderId="0"/>
    <xf numFmtId="164" fontId="17" fillId="0" borderId="0" applyFont="0" applyFill="0" applyBorder="0" applyAlignment="0" applyProtection="0"/>
  </cellStyleXfs>
  <cellXfs count="754">
    <xf numFmtId="0" fontId="0" fillId="0" borderId="0" xfId="0"/>
    <xf numFmtId="0" fontId="1" fillId="2" borderId="0" xfId="0" applyFont="1" applyFill="1"/>
    <xf numFmtId="0" fontId="1" fillId="0" borderId="0" xfId="0" applyFont="1" applyBorder="1"/>
    <xf numFmtId="0" fontId="1" fillId="0" borderId="0" xfId="0" applyFont="1"/>
    <xf numFmtId="0" fontId="4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5" fillId="0" borderId="0" xfId="0" applyFont="1" applyBorder="1" applyAlignment="1"/>
    <xf numFmtId="0" fontId="0" fillId="0" borderId="8" xfId="0" applyBorder="1"/>
    <xf numFmtId="0" fontId="0" fillId="2" borderId="0" xfId="0" applyFill="1"/>
    <xf numFmtId="0" fontId="13" fillId="2" borderId="0" xfId="0" applyFont="1" applyFill="1" applyAlignment="1"/>
    <xf numFmtId="0" fontId="14" fillId="2" borderId="0" xfId="0" applyFont="1" applyFill="1"/>
    <xf numFmtId="0" fontId="16" fillId="0" borderId="0" xfId="0" applyFont="1"/>
    <xf numFmtId="0" fontId="21" fillId="0" borderId="33" xfId="3" applyBorder="1">
      <alignment horizontal="center" vertical="center" wrapText="1"/>
    </xf>
    <xf numFmtId="0" fontId="21" fillId="0" borderId="12" xfId="3" applyBorder="1">
      <alignment horizontal="center" vertical="center" wrapText="1"/>
    </xf>
    <xf numFmtId="0" fontId="21" fillId="0" borderId="8" xfId="3" applyFont="1" applyBorder="1">
      <alignment horizontal="center" vertical="center" wrapText="1"/>
    </xf>
    <xf numFmtId="0" fontId="21" fillId="0" borderId="12" xfId="3" applyFont="1" applyBorder="1">
      <alignment horizontal="center" vertical="center" wrapText="1"/>
    </xf>
    <xf numFmtId="49" fontId="0" fillId="0" borderId="8" xfId="0" applyNumberFormat="1" applyBorder="1" applyAlignment="1">
      <alignment vertical="top"/>
    </xf>
    <xf numFmtId="4" fontId="22" fillId="3" borderId="8" xfId="4" applyNumberFormat="1" applyBorder="1" applyProtection="1">
      <alignment horizontal="right"/>
    </xf>
    <xf numFmtId="4" fontId="22" fillId="4" borderId="12" xfId="5" applyBorder="1">
      <alignment horizontal="right"/>
    </xf>
    <xf numFmtId="17" fontId="0" fillId="0" borderId="8" xfId="0" quotePrefix="1" applyNumberFormat="1" applyBorder="1" applyAlignment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21" fillId="4" borderId="12" xfId="5" applyFont="1" applyBorder="1">
      <alignment horizontal="right"/>
    </xf>
    <xf numFmtId="49" fontId="0" fillId="0" borderId="34" xfId="0" applyNumberFormat="1" applyBorder="1" applyAlignment="1">
      <alignment vertical="top"/>
    </xf>
    <xf numFmtId="4" fontId="0" fillId="3" borderId="34" xfId="0" applyNumberFormat="1" applyFill="1" applyBorder="1" applyAlignment="1" applyProtection="1">
      <alignment vertical="top"/>
    </xf>
    <xf numFmtId="4" fontId="21" fillId="4" borderId="35" xfId="6" applyFont="1" applyFill="1" applyBorder="1">
      <alignment horizontal="right"/>
    </xf>
    <xf numFmtId="0" fontId="18" fillId="0" borderId="0" xfId="0" applyFont="1"/>
    <xf numFmtId="0" fontId="7" fillId="0" borderId="8" xfId="0" applyFont="1" applyBorder="1"/>
    <xf numFmtId="0" fontId="7" fillId="2" borderId="8" xfId="0" applyFont="1" applyFill="1" applyBorder="1"/>
    <xf numFmtId="0" fontId="14" fillId="0" borderId="0" xfId="0" applyFont="1" applyAlignment="1">
      <alignment horizontal="justify"/>
    </xf>
    <xf numFmtId="0" fontId="14" fillId="0" borderId="30" xfId="0" applyFont="1" applyBorder="1" applyAlignment="1">
      <alignment horizontal="justify" vertical="top" wrapText="1"/>
    </xf>
    <xf numFmtId="1" fontId="14" fillId="0" borderId="30" xfId="0" applyNumberFormat="1" applyFont="1" applyBorder="1" applyAlignment="1">
      <alignment horizontal="justify" vertical="top" wrapText="1"/>
    </xf>
    <xf numFmtId="2" fontId="14" fillId="0" borderId="30" xfId="0" applyNumberFormat="1" applyFont="1" applyBorder="1" applyAlignment="1">
      <alignment horizontal="justify" vertical="top" wrapText="1"/>
    </xf>
    <xf numFmtId="170" fontId="14" fillId="0" borderId="30" xfId="0" applyNumberFormat="1" applyFont="1" applyBorder="1" applyAlignment="1">
      <alignment horizontal="justify" vertical="top" wrapText="1"/>
    </xf>
    <xf numFmtId="0" fontId="13" fillId="7" borderId="7" xfId="0" applyFont="1" applyFill="1" applyBorder="1" applyAlignment="1">
      <alignment horizontal="justify" vertical="top" wrapText="1"/>
    </xf>
    <xf numFmtId="0" fontId="13" fillId="7" borderId="30" xfId="0" applyFont="1" applyFill="1" applyBorder="1" applyAlignment="1">
      <alignment horizontal="justify" vertical="top" wrapText="1"/>
    </xf>
    <xf numFmtId="0" fontId="14" fillId="7" borderId="30" xfId="0" applyFont="1" applyFill="1" applyBorder="1" applyAlignment="1">
      <alignment horizontal="justify" vertical="top" wrapText="1"/>
    </xf>
    <xf numFmtId="0" fontId="13" fillId="2" borderId="7" xfId="0" applyFont="1" applyFill="1" applyBorder="1" applyAlignment="1">
      <alignment horizontal="justify" vertical="top" wrapText="1"/>
    </xf>
    <xf numFmtId="0" fontId="13" fillId="2" borderId="30" xfId="0" applyFont="1" applyFill="1" applyBorder="1" applyAlignment="1">
      <alignment horizontal="justify" vertical="top" wrapText="1"/>
    </xf>
    <xf numFmtId="0" fontId="14" fillId="2" borderId="30" xfId="0" applyFont="1" applyFill="1" applyBorder="1" applyAlignment="1">
      <alignment horizontal="justify" vertical="top" wrapText="1"/>
    </xf>
    <xf numFmtId="0" fontId="14" fillId="2" borderId="7" xfId="0" applyFont="1" applyFill="1" applyBorder="1" applyAlignment="1">
      <alignment horizontal="justify" vertical="top" wrapText="1"/>
    </xf>
    <xf numFmtId="170" fontId="14" fillId="2" borderId="30" xfId="0" applyNumberFormat="1" applyFont="1" applyFill="1" applyBorder="1" applyAlignment="1">
      <alignment horizontal="justify" vertical="top" wrapText="1"/>
    </xf>
    <xf numFmtId="170" fontId="14" fillId="0" borderId="30" xfId="0" applyNumberFormat="1" applyFont="1" applyBorder="1" applyAlignment="1">
      <alignment horizontal="left" vertical="top" wrapText="1"/>
    </xf>
    <xf numFmtId="170" fontId="13" fillId="2" borderId="30" xfId="0" applyNumberFormat="1" applyFont="1" applyFill="1" applyBorder="1" applyAlignment="1">
      <alignment horizontal="justify" vertical="top" wrapText="1"/>
    </xf>
    <xf numFmtId="170" fontId="13" fillId="7" borderId="30" xfId="0" applyNumberFormat="1" applyFont="1" applyFill="1" applyBorder="1" applyAlignment="1">
      <alignment horizontal="justify" vertical="top" wrapText="1"/>
    </xf>
    <xf numFmtId="0" fontId="14" fillId="7" borderId="7" xfId="0" applyFont="1" applyFill="1" applyBorder="1" applyAlignment="1">
      <alignment horizontal="justify" vertical="top" wrapText="1"/>
    </xf>
    <xf numFmtId="0" fontId="14" fillId="0" borderId="0" xfId="0" applyFont="1" applyAlignment="1">
      <alignment horizontal="center" wrapText="1"/>
    </xf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0" fontId="14" fillId="2" borderId="8" xfId="9" applyFont="1" applyFill="1" applyBorder="1" applyAlignment="1">
      <alignment horizontal="center"/>
    </xf>
    <xf numFmtId="0" fontId="13" fillId="2" borderId="8" xfId="9" applyFont="1" applyFill="1" applyBorder="1" applyAlignment="1">
      <alignment horizontal="center"/>
    </xf>
    <xf numFmtId="16" fontId="14" fillId="2" borderId="8" xfId="9" applyNumberFormat="1" applyFont="1" applyFill="1" applyBorder="1" applyAlignment="1">
      <alignment horizontal="center"/>
    </xf>
    <xf numFmtId="0" fontId="26" fillId="2" borderId="0" xfId="0" applyFont="1" applyFill="1"/>
    <xf numFmtId="0" fontId="7" fillId="2" borderId="8" xfId="0" applyFont="1" applyFill="1" applyBorder="1" applyAlignment="1">
      <alignment wrapText="1"/>
    </xf>
    <xf numFmtId="0" fontId="14" fillId="2" borderId="0" xfId="0" applyFont="1" applyFill="1" applyAlignment="1">
      <alignment horizontal="center"/>
    </xf>
    <xf numFmtId="0" fontId="32" fillId="0" borderId="8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right"/>
    </xf>
    <xf numFmtId="0" fontId="15" fillId="0" borderId="8" xfId="0" applyFont="1" applyBorder="1" applyAlignment="1">
      <alignment horizontal="right" vertical="center" wrapText="1"/>
    </xf>
    <xf numFmtId="0" fontId="32" fillId="0" borderId="8" xfId="0" applyFont="1" applyBorder="1" applyAlignment="1">
      <alignment horizontal="right"/>
    </xf>
    <xf numFmtId="0" fontId="15" fillId="2" borderId="8" xfId="0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right"/>
    </xf>
    <xf numFmtId="0" fontId="32" fillId="0" borderId="8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/>
    </xf>
    <xf numFmtId="170" fontId="32" fillId="2" borderId="8" xfId="0" applyNumberFormat="1" applyFont="1" applyFill="1" applyBorder="1" applyAlignment="1">
      <alignment horizontal="right" wrapText="1"/>
    </xf>
    <xf numFmtId="170" fontId="31" fillId="2" borderId="8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8" xfId="0" applyFont="1" applyBorder="1" applyAlignment="1">
      <alignment wrapText="1"/>
    </xf>
    <xf numFmtId="0" fontId="3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168" fontId="33" fillId="0" borderId="8" xfId="0" applyNumberFormat="1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2" fillId="0" borderId="8" xfId="0" applyFont="1" applyBorder="1" applyAlignment="1">
      <alignment wrapText="1"/>
    </xf>
    <xf numFmtId="0" fontId="25" fillId="0" borderId="0" xfId="0" applyFont="1"/>
    <xf numFmtId="0" fontId="35" fillId="0" borderId="8" xfId="0" applyFont="1" applyBorder="1"/>
    <xf numFmtId="0" fontId="39" fillId="0" borderId="8" xfId="0" applyFont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wrapText="1"/>
    </xf>
    <xf numFmtId="0" fontId="35" fillId="0" borderId="8" xfId="0" applyFont="1" applyFill="1" applyBorder="1" applyAlignment="1">
      <alignment horizontal="center"/>
    </xf>
    <xf numFmtId="0" fontId="40" fillId="0" borderId="0" xfId="0" applyFont="1" applyFill="1" applyBorder="1" applyAlignment="1">
      <alignment wrapText="1"/>
    </xf>
    <xf numFmtId="0" fontId="0" fillId="2" borderId="0" xfId="0" applyFill="1" applyBorder="1"/>
    <xf numFmtId="0" fontId="18" fillId="0" borderId="8" xfId="0" applyFont="1" applyBorder="1"/>
    <xf numFmtId="0" fontId="32" fillId="2" borderId="8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27" fillId="2" borderId="8" xfId="8" applyNumberFormat="1" applyFont="1" applyFill="1" applyBorder="1" applyAlignment="1" applyProtection="1">
      <alignment horizontal="center" vertical="top"/>
    </xf>
    <xf numFmtId="0" fontId="27" fillId="2" borderId="8" xfId="8" applyNumberFormat="1" applyFont="1" applyFill="1" applyBorder="1" applyAlignment="1" applyProtection="1">
      <alignment horizontal="center" vertical="top" wrapText="1"/>
    </xf>
    <xf numFmtId="168" fontId="15" fillId="2" borderId="8" xfId="0" applyNumberFormat="1" applyFont="1" applyFill="1" applyBorder="1" applyAlignment="1">
      <alignment horizontal="center" wrapText="1"/>
    </xf>
    <xf numFmtId="0" fontId="0" fillId="2" borderId="9" xfId="0" applyFill="1" applyBorder="1"/>
    <xf numFmtId="0" fontId="18" fillId="2" borderId="8" xfId="0" applyFont="1" applyFill="1" applyBorder="1"/>
    <xf numFmtId="0" fontId="18" fillId="2" borderId="0" xfId="0" applyFont="1" applyFill="1"/>
    <xf numFmtId="0" fontId="0" fillId="0" borderId="8" xfId="0" applyBorder="1" applyAlignment="1">
      <alignment wrapText="1"/>
    </xf>
    <xf numFmtId="2" fontId="0" fillId="0" borderId="8" xfId="0" applyNumberFormat="1" applyBorder="1"/>
    <xf numFmtId="2" fontId="18" fillId="0" borderId="0" xfId="0" applyNumberFormat="1" applyFont="1"/>
    <xf numFmtId="0" fontId="14" fillId="0" borderId="7" xfId="0" applyFont="1" applyBorder="1" applyAlignment="1">
      <alignment horizontal="justify" vertical="top" wrapText="1"/>
    </xf>
    <xf numFmtId="0" fontId="13" fillId="8" borderId="7" xfId="0" applyFont="1" applyFill="1" applyBorder="1" applyAlignment="1">
      <alignment horizontal="justify" vertical="top" wrapText="1"/>
    </xf>
    <xf numFmtId="0" fontId="13" fillId="8" borderId="30" xfId="0" applyFont="1" applyFill="1" applyBorder="1" applyAlignment="1">
      <alignment horizontal="justify" vertical="top" wrapText="1"/>
    </xf>
    <xf numFmtId="0" fontId="14" fillId="8" borderId="30" xfId="0" applyFont="1" applyFill="1" applyBorder="1" applyAlignment="1">
      <alignment horizontal="justify"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justify" vertical="top" wrapText="1"/>
    </xf>
    <xf numFmtId="9" fontId="14" fillId="0" borderId="0" xfId="0" applyNumberFormat="1" applyFont="1" applyBorder="1" applyAlignment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13" fillId="2" borderId="0" xfId="0" applyFont="1" applyFill="1" applyAlignment="1">
      <alignment horizontal="justify"/>
    </xf>
    <xf numFmtId="0" fontId="14" fillId="2" borderId="0" xfId="0" applyFont="1" applyFill="1" applyAlignment="1">
      <alignment horizontal="justify"/>
    </xf>
    <xf numFmtId="0" fontId="3" fillId="2" borderId="2" xfId="0" applyFont="1" applyFill="1" applyBorder="1" applyAlignment="1">
      <alignment vertical="center" wrapText="1"/>
    </xf>
    <xf numFmtId="0" fontId="1" fillId="2" borderId="12" xfId="0" applyFont="1" applyFill="1" applyBorder="1"/>
    <xf numFmtId="0" fontId="11" fillId="2" borderId="0" xfId="0" applyFont="1" applyFill="1"/>
    <xf numFmtId="0" fontId="43" fillId="2" borderId="0" xfId="0" applyFont="1" applyFill="1"/>
    <xf numFmtId="0" fontId="34" fillId="2" borderId="8" xfId="0" applyFont="1" applyFill="1" applyBorder="1" applyAlignment="1">
      <alignment horizontal="center" vertical="top" wrapText="1"/>
    </xf>
    <xf numFmtId="0" fontId="35" fillId="2" borderId="8" xfId="0" applyFont="1" applyFill="1" applyBorder="1" applyAlignment="1">
      <alignment wrapText="1"/>
    </xf>
    <xf numFmtId="167" fontId="35" fillId="2" borderId="9" xfId="0" applyNumberFormat="1" applyFont="1" applyFill="1" applyBorder="1" applyAlignment="1">
      <alignment horizontal="center"/>
    </xf>
    <xf numFmtId="167" fontId="35" fillId="2" borderId="8" xfId="0" applyNumberFormat="1" applyFont="1" applyFill="1" applyBorder="1" applyAlignment="1">
      <alignment horizontal="center"/>
    </xf>
    <xf numFmtId="167" fontId="36" fillId="2" borderId="8" xfId="0" applyNumberFormat="1" applyFont="1" applyFill="1" applyBorder="1" applyAlignment="1">
      <alignment horizontal="center"/>
    </xf>
    <xf numFmtId="9" fontId="35" fillId="2" borderId="8" xfId="1" applyNumberFormat="1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 vertical="center"/>
    </xf>
    <xf numFmtId="167" fontId="37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>
      <alignment wrapText="1"/>
    </xf>
    <xf numFmtId="0" fontId="38" fillId="2" borderId="8" xfId="0" applyFont="1" applyFill="1" applyBorder="1" applyAlignment="1">
      <alignment horizontal="center" wrapText="1"/>
    </xf>
    <xf numFmtId="0" fontId="33" fillId="2" borderId="8" xfId="0" applyFont="1" applyFill="1" applyBorder="1" applyAlignment="1">
      <alignment horizontal="center" wrapText="1"/>
    </xf>
    <xf numFmtId="168" fontId="33" fillId="2" borderId="8" xfId="0" applyNumberFormat="1" applyFont="1" applyFill="1" applyBorder="1" applyAlignment="1">
      <alignment horizontal="center" wrapText="1"/>
    </xf>
    <xf numFmtId="49" fontId="9" fillId="2" borderId="8" xfId="0" applyNumberFormat="1" applyFont="1" applyFill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Border="1" applyAlignment="1"/>
    <xf numFmtId="49" fontId="51" fillId="2" borderId="8" xfId="0" applyNumberFormat="1" applyFont="1" applyFill="1" applyBorder="1" applyAlignment="1">
      <alignment horizontal="left" vertical="center" wrapText="1"/>
    </xf>
    <xf numFmtId="49" fontId="52" fillId="2" borderId="8" xfId="0" applyNumberFormat="1" applyFont="1" applyFill="1" applyBorder="1" applyAlignment="1">
      <alignment horizontal="center" vertical="center" wrapText="1"/>
    </xf>
    <xf numFmtId="49" fontId="52" fillId="2" borderId="8" xfId="0" applyNumberFormat="1" applyFont="1" applyFill="1" applyBorder="1" applyAlignment="1">
      <alignment horizontal="left" vertical="center" wrapText="1"/>
    </xf>
    <xf numFmtId="49" fontId="51" fillId="2" borderId="13" xfId="0" applyNumberFormat="1" applyFont="1" applyFill="1" applyBorder="1" applyAlignment="1">
      <alignment horizontal="left" vertical="center" wrapText="1"/>
    </xf>
    <xf numFmtId="49" fontId="51" fillId="2" borderId="15" xfId="0" applyNumberFormat="1" applyFont="1" applyFill="1" applyBorder="1" applyAlignment="1">
      <alignment horizontal="center" vertical="center" wrapText="1"/>
    </xf>
    <xf numFmtId="49" fontId="52" fillId="2" borderId="8" xfId="0" applyNumberFormat="1" applyFont="1" applyFill="1" applyBorder="1"/>
    <xf numFmtId="49" fontId="52" fillId="2" borderId="36" xfId="0" applyNumberFormat="1" applyFont="1" applyFill="1" applyBorder="1" applyAlignment="1">
      <alignment horizontal="left" vertical="center" wrapText="1"/>
    </xf>
    <xf numFmtId="49" fontId="52" fillId="2" borderId="39" xfId="0" applyNumberFormat="1" applyFont="1" applyFill="1" applyBorder="1" applyAlignment="1">
      <alignment horizontal="left" vertical="center" wrapText="1"/>
    </xf>
    <xf numFmtId="0" fontId="57" fillId="0" borderId="32" xfId="3" applyNumberFormat="1" applyFont="1" applyBorder="1">
      <alignment horizontal="center" vertical="center" wrapText="1"/>
    </xf>
    <xf numFmtId="0" fontId="57" fillId="0" borderId="33" xfId="3" applyFont="1" applyBorder="1">
      <alignment horizontal="center" vertical="center" wrapText="1"/>
    </xf>
    <xf numFmtId="0" fontId="57" fillId="0" borderId="8" xfId="3" applyNumberFormat="1" applyFont="1" applyBorder="1">
      <alignment horizontal="center" vertical="center" wrapText="1"/>
    </xf>
    <xf numFmtId="0" fontId="57" fillId="0" borderId="12" xfId="3" applyFont="1" applyBorder="1">
      <alignment horizontal="center" vertical="center" wrapText="1"/>
    </xf>
    <xf numFmtId="0" fontId="57" fillId="0" borderId="11" xfId="3" applyFont="1" applyBorder="1">
      <alignment horizontal="center" vertical="center" wrapText="1"/>
    </xf>
    <xf numFmtId="4" fontId="58" fillId="3" borderId="8" xfId="4" applyNumberFormat="1" applyFont="1" applyBorder="1" applyProtection="1">
      <alignment horizontal="right"/>
    </xf>
    <xf numFmtId="4" fontId="58" fillId="4" borderId="12" xfId="5" applyFont="1" applyBorder="1">
      <alignment horizontal="right"/>
    </xf>
    <xf numFmtId="4" fontId="16" fillId="3" borderId="8" xfId="0" applyNumberFormat="1" applyFont="1" applyFill="1" applyBorder="1" applyAlignment="1" applyProtection="1">
      <alignment vertical="top"/>
    </xf>
    <xf numFmtId="4" fontId="57" fillId="4" borderId="12" xfId="5" applyFont="1" applyBorder="1">
      <alignment horizontal="right"/>
    </xf>
    <xf numFmtId="4" fontId="58" fillId="3" borderId="8" xfId="4" applyNumberFormat="1" applyFont="1" applyFill="1" applyBorder="1" applyProtection="1">
      <alignment horizontal="right"/>
    </xf>
    <xf numFmtId="4" fontId="58" fillId="6" borderId="8" xfId="4" applyNumberFormat="1" applyFont="1" applyFill="1" applyBorder="1" applyProtection="1">
      <alignment horizontal="right"/>
    </xf>
    <xf numFmtId="49" fontId="16" fillId="0" borderId="16" xfId="0" applyNumberFormat="1" applyFont="1" applyBorder="1" applyAlignment="1">
      <alignment vertical="top"/>
    </xf>
    <xf numFmtId="49" fontId="16" fillId="0" borderId="34" xfId="0" applyNumberFormat="1" applyFont="1" applyBorder="1" applyAlignment="1">
      <alignment vertical="top"/>
    </xf>
    <xf numFmtId="4" fontId="16" fillId="3" borderId="34" xfId="0" applyNumberFormat="1" applyFont="1" applyFill="1" applyBorder="1" applyAlignment="1" applyProtection="1">
      <alignment vertical="top"/>
    </xf>
    <xf numFmtId="4" fontId="57" fillId="4" borderId="35" xfId="5" applyNumberFormat="1" applyFont="1" applyBorder="1">
      <alignment horizontal="right"/>
    </xf>
    <xf numFmtId="0" fontId="42" fillId="0" borderId="0" xfId="0" applyFont="1"/>
    <xf numFmtId="0" fontId="18" fillId="2" borderId="0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0" xfId="0" applyFont="1" applyFill="1" applyBorder="1"/>
    <xf numFmtId="0" fontId="59" fillId="0" borderId="0" xfId="0" applyFont="1"/>
    <xf numFmtId="0" fontId="0" fillId="2" borderId="0" xfId="0" applyFont="1" applyFill="1"/>
    <xf numFmtId="0" fontId="0" fillId="2" borderId="8" xfId="0" applyFont="1" applyFill="1" applyBorder="1"/>
    <xf numFmtId="0" fontId="26" fillId="2" borderId="8" xfId="8" applyNumberFormat="1" applyFont="1" applyFill="1" applyBorder="1" applyAlignment="1" applyProtection="1">
      <alignment horizontal="center" vertical="center" wrapText="1"/>
    </xf>
    <xf numFmtId="0" fontId="27" fillId="2" borderId="48" xfId="8" applyNumberFormat="1" applyFont="1" applyFill="1" applyBorder="1" applyAlignment="1" applyProtection="1">
      <alignment horizontal="center" vertical="top"/>
    </xf>
    <xf numFmtId="0" fontId="27" fillId="2" borderId="48" xfId="8" applyFont="1" applyFill="1" applyBorder="1" applyAlignment="1">
      <alignment horizontal="center" wrapText="1"/>
    </xf>
    <xf numFmtId="0" fontId="26" fillId="2" borderId="8" xfId="8" applyFont="1" applyFill="1" applyBorder="1" applyAlignment="1">
      <alignment wrapText="1"/>
    </xf>
    <xf numFmtId="2" fontId="26" fillId="2" borderId="8" xfId="8" applyNumberFormat="1" applyFont="1" applyFill="1" applyBorder="1" applyAlignment="1"/>
    <xf numFmtId="165" fontId="26" fillId="2" borderId="8" xfId="8" applyNumberFormat="1" applyFont="1" applyFill="1" applyBorder="1" applyAlignment="1"/>
    <xf numFmtId="165" fontId="26" fillId="2" borderId="47" xfId="8" applyNumberFormat="1" applyFont="1" applyFill="1" applyBorder="1" applyAlignment="1"/>
    <xf numFmtId="0" fontId="26" fillId="2" borderId="8" xfId="8" applyFont="1" applyFill="1" applyBorder="1" applyAlignment="1">
      <alignment horizontal="justify" vertical="top" wrapText="1"/>
    </xf>
    <xf numFmtId="0" fontId="26" fillId="2" borderId="13" xfId="8" applyFont="1" applyFill="1" applyBorder="1" applyAlignment="1">
      <alignment wrapText="1"/>
    </xf>
    <xf numFmtId="10" fontId="26" fillId="2" borderId="8" xfId="8" applyNumberFormat="1" applyFont="1" applyFill="1" applyBorder="1" applyAlignment="1"/>
    <xf numFmtId="169" fontId="26" fillId="2" borderId="8" xfId="8" applyNumberFormat="1" applyFont="1" applyFill="1" applyBorder="1" applyAlignment="1"/>
    <xf numFmtId="10" fontId="26" fillId="2" borderId="47" xfId="8" applyNumberFormat="1" applyFont="1" applyFill="1" applyBorder="1" applyAlignment="1"/>
    <xf numFmtId="0" fontId="26" fillId="2" borderId="8" xfId="8" applyFont="1" applyFill="1" applyBorder="1" applyAlignment="1">
      <alignment horizontal="left" vertical="justify" wrapText="1"/>
    </xf>
    <xf numFmtId="0" fontId="28" fillId="2" borderId="8" xfId="8" applyFont="1" applyFill="1" applyBorder="1" applyAlignment="1">
      <alignment wrapText="1"/>
    </xf>
    <xf numFmtId="0" fontId="27" fillId="2" borderId="49" xfId="8" applyFont="1" applyFill="1" applyBorder="1" applyAlignment="1">
      <alignment horizontal="center" wrapText="1"/>
    </xf>
    <xf numFmtId="0" fontId="26" fillId="2" borderId="50" xfId="8" applyFont="1" applyFill="1" applyBorder="1" applyAlignment="1">
      <alignment wrapText="1"/>
    </xf>
    <xf numFmtId="165" fontId="26" fillId="2" borderId="50" xfId="8" applyNumberFormat="1" applyFont="1" applyFill="1" applyBorder="1" applyAlignment="1"/>
    <xf numFmtId="165" fontId="26" fillId="2" borderId="51" xfId="8" applyNumberFormat="1" applyFont="1" applyFill="1" applyBorder="1" applyAlignment="1"/>
    <xf numFmtId="0" fontId="26" fillId="2" borderId="0" xfId="8" applyFont="1" applyFill="1" applyBorder="1" applyAlignment="1">
      <alignment wrapText="1"/>
    </xf>
    <xf numFmtId="0" fontId="27" fillId="2" borderId="0" xfId="8" applyFont="1" applyFill="1" applyBorder="1" applyAlignment="1">
      <alignment horizontal="center" wrapText="1"/>
    </xf>
    <xf numFmtId="165" fontId="26" fillId="2" borderId="0" xfId="8" applyNumberFormat="1" applyFont="1" applyFill="1" applyBorder="1" applyAlignment="1"/>
    <xf numFmtId="0" fontId="60" fillId="0" borderId="0" xfId="0" applyFont="1"/>
    <xf numFmtId="0" fontId="16" fillId="0" borderId="8" xfId="0" applyFont="1" applyBorder="1" applyAlignment="1">
      <alignment horizontal="center"/>
    </xf>
    <xf numFmtId="0" fontId="14" fillId="2" borderId="8" xfId="0" applyFont="1" applyFill="1" applyBorder="1"/>
    <xf numFmtId="2" fontId="14" fillId="2" borderId="8" xfId="0" applyNumberFormat="1" applyFont="1" applyFill="1" applyBorder="1"/>
    <xf numFmtId="170" fontId="14" fillId="2" borderId="8" xfId="0" applyNumberFormat="1" applyFont="1" applyFill="1" applyBorder="1"/>
    <xf numFmtId="0" fontId="61" fillId="2" borderId="8" xfId="0" applyFont="1" applyFill="1" applyBorder="1"/>
    <xf numFmtId="170" fontId="13" fillId="2" borderId="8" xfId="0" applyNumberFormat="1" applyFont="1" applyFill="1" applyBorder="1"/>
    <xf numFmtId="2" fontId="13" fillId="2" borderId="8" xfId="0" applyNumberFormat="1" applyFont="1" applyFill="1" applyBorder="1"/>
    <xf numFmtId="0" fontId="13" fillId="2" borderId="8" xfId="0" applyFont="1" applyFill="1" applyBorder="1"/>
    <xf numFmtId="0" fontId="13" fillId="2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14" fillId="2" borderId="0" xfId="9" applyFont="1" applyFill="1"/>
    <xf numFmtId="0" fontId="13" fillId="2" borderId="8" xfId="9" applyFont="1" applyFill="1" applyBorder="1" applyAlignment="1">
      <alignment horizontal="center" vertical="center" wrapText="1"/>
    </xf>
    <xf numFmtId="0" fontId="14" fillId="2" borderId="8" xfId="9" applyFont="1" applyFill="1" applyBorder="1" applyAlignment="1">
      <alignment wrapText="1"/>
    </xf>
    <xf numFmtId="0" fontId="14" fillId="2" borderId="8" xfId="9" applyFont="1" applyFill="1" applyBorder="1" applyAlignment="1">
      <alignment horizontal="left" wrapText="1"/>
    </xf>
    <xf numFmtId="0" fontId="14" fillId="2" borderId="8" xfId="9" applyFont="1" applyFill="1" applyBorder="1" applyAlignment="1">
      <alignment horizontal="left" vertical="center" wrapText="1"/>
    </xf>
    <xf numFmtId="0" fontId="14" fillId="2" borderId="8" xfId="9" applyFont="1" applyFill="1" applyBorder="1" applyAlignment="1">
      <alignment horizontal="center" vertical="top"/>
    </xf>
    <xf numFmtId="0" fontId="14" fillId="2" borderId="8" xfId="9" applyFont="1" applyFill="1" applyBorder="1" applyAlignment="1">
      <alignment vertical="top" wrapText="1"/>
    </xf>
    <xf numFmtId="0" fontId="13" fillId="2" borderId="8" xfId="9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top"/>
    </xf>
    <xf numFmtId="0" fontId="0" fillId="0" borderId="0" xfId="0" applyAlignment="1"/>
    <xf numFmtId="0" fontId="25" fillId="0" borderId="0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170" fontId="15" fillId="2" borderId="8" xfId="0" applyNumberFormat="1" applyFont="1" applyFill="1" applyBorder="1" applyAlignment="1">
      <alignment horizontal="right" wrapText="1"/>
    </xf>
    <xf numFmtId="2" fontId="0" fillId="2" borderId="8" xfId="0" applyNumberFormat="1" applyFill="1" applyBorder="1"/>
    <xf numFmtId="0" fontId="16" fillId="0" borderId="8" xfId="0" applyFont="1" applyBorder="1"/>
    <xf numFmtId="0" fontId="0" fillId="2" borderId="8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18" fillId="2" borderId="8" xfId="0" applyNumberFormat="1" applyFont="1" applyFill="1" applyBorder="1"/>
    <xf numFmtId="1" fontId="34" fillId="0" borderId="8" xfId="0" applyNumberFormat="1" applyFont="1" applyBorder="1" applyAlignment="1">
      <alignment horizontal="center" vertical="center"/>
    </xf>
    <xf numFmtId="49" fontId="0" fillId="2" borderId="8" xfId="0" applyNumberFormat="1" applyFill="1" applyBorder="1" applyAlignment="1">
      <alignment horizontal="right"/>
    </xf>
    <xf numFmtId="49" fontId="0" fillId="2" borderId="8" xfId="0" applyNumberFormat="1" applyFill="1" applyBorder="1"/>
    <xf numFmtId="49" fontId="0" fillId="2" borderId="0" xfId="0" applyNumberFormat="1" applyFill="1" applyBorder="1"/>
    <xf numFmtId="49" fontId="18" fillId="2" borderId="8" xfId="0" applyNumberFormat="1" applyFont="1" applyFill="1" applyBorder="1" applyAlignment="1">
      <alignment horizontal="right"/>
    </xf>
    <xf numFmtId="49" fontId="7" fillId="2" borderId="8" xfId="0" applyNumberFormat="1" applyFont="1" applyFill="1" applyBorder="1"/>
    <xf numFmtId="49" fontId="0" fillId="2" borderId="8" xfId="0" applyNumberFormat="1" applyFont="1" applyFill="1" applyBorder="1" applyAlignment="1">
      <alignment horizontal="right"/>
    </xf>
    <xf numFmtId="49" fontId="18" fillId="2" borderId="8" xfId="0" applyNumberFormat="1" applyFont="1" applyFill="1" applyBorder="1" applyAlignment="1">
      <alignment horizontal="center" vertical="top"/>
    </xf>
    <xf numFmtId="49" fontId="18" fillId="2" borderId="8" xfId="0" applyNumberFormat="1" applyFont="1" applyFill="1" applyBorder="1" applyAlignment="1">
      <alignment horizontal="center"/>
    </xf>
    <xf numFmtId="0" fontId="18" fillId="2" borderId="8" xfId="0" applyFont="1" applyFill="1" applyBorder="1" applyAlignment="1">
      <alignment wrapText="1"/>
    </xf>
    <xf numFmtId="0" fontId="45" fillId="2" borderId="8" xfId="0" applyFont="1" applyFill="1" applyBorder="1" applyAlignment="1">
      <alignment wrapText="1"/>
    </xf>
    <xf numFmtId="0" fontId="63" fillId="2" borderId="8" xfId="0" applyFont="1" applyFill="1" applyBorder="1" applyAlignment="1">
      <alignment wrapText="1"/>
    </xf>
    <xf numFmtId="0" fontId="59" fillId="2" borderId="8" xfId="0" applyFont="1" applyFill="1" applyBorder="1" applyAlignment="1">
      <alignment wrapText="1"/>
    </xf>
    <xf numFmtId="0" fontId="66" fillId="0" borderId="0" xfId="0" applyFont="1" applyProtection="1"/>
    <xf numFmtId="0" fontId="67" fillId="0" borderId="0" xfId="0" applyFont="1" applyProtection="1"/>
    <xf numFmtId="0" fontId="68" fillId="0" borderId="0" xfId="11" applyFont="1" applyBorder="1" applyAlignment="1" applyProtection="1">
      <alignment vertical="center"/>
    </xf>
    <xf numFmtId="49" fontId="68" fillId="0" borderId="0" xfId="12" applyFont="1" applyBorder="1" applyAlignment="1" applyProtection="1">
      <alignment horizontal="right" vertical="center"/>
    </xf>
    <xf numFmtId="0" fontId="12" fillId="0" borderId="0" xfId="0" applyFont="1" applyProtection="1"/>
    <xf numFmtId="0" fontId="68" fillId="0" borderId="8" xfId="11" applyFont="1" applyBorder="1" applyAlignment="1" applyProtection="1">
      <alignment horizontal="center" vertical="center" wrapText="1"/>
    </xf>
    <xf numFmtId="49" fontId="68" fillId="0" borderId="8" xfId="12" applyFont="1" applyBorder="1" applyAlignment="1" applyProtection="1">
      <alignment vertical="center" wrapText="1"/>
    </xf>
    <xf numFmtId="49" fontId="68" fillId="0" borderId="8" xfId="12" applyFont="1" applyBorder="1" applyAlignment="1" applyProtection="1">
      <alignment horizontal="center" vertical="center" wrapText="1"/>
    </xf>
    <xf numFmtId="4" fontId="68" fillId="9" borderId="8" xfId="12" applyNumberFormat="1" applyFont="1" applyFill="1" applyBorder="1" applyAlignment="1" applyProtection="1">
      <alignment horizontal="right" vertical="center"/>
    </xf>
    <xf numFmtId="4" fontId="68" fillId="7" borderId="8" xfId="12" applyNumberFormat="1" applyFont="1" applyFill="1" applyBorder="1" applyAlignment="1" applyProtection="1">
      <alignment horizontal="right" vertical="center"/>
      <protection locked="0"/>
    </xf>
    <xf numFmtId="4" fontId="68" fillId="11" borderId="8" xfId="12" applyNumberFormat="1" applyFont="1" applyFill="1" applyBorder="1" applyAlignment="1" applyProtection="1">
      <alignment horizontal="right" vertical="center"/>
    </xf>
    <xf numFmtId="49" fontId="68" fillId="0" borderId="0" xfId="12" applyFont="1" applyBorder="1" applyAlignment="1" applyProtection="1">
      <alignment vertical="center" wrapText="1"/>
    </xf>
    <xf numFmtId="49" fontId="68" fillId="0" borderId="0" xfId="12" applyFont="1" applyBorder="1" applyAlignment="1" applyProtection="1">
      <alignment horizontal="center" vertical="center" wrapText="1"/>
    </xf>
    <xf numFmtId="4" fontId="68" fillId="0" borderId="0" xfId="12" applyNumberFormat="1" applyFont="1" applyFill="1" applyBorder="1" applyAlignment="1" applyProtection="1">
      <alignment horizontal="right" vertical="center"/>
    </xf>
    <xf numFmtId="0" fontId="69" fillId="0" borderId="0" xfId="0" applyFont="1" applyProtection="1"/>
    <xf numFmtId="4" fontId="12" fillId="0" borderId="0" xfId="0" applyNumberFormat="1" applyFont="1" applyProtection="1"/>
    <xf numFmtId="168" fontId="68" fillId="9" borderId="8" xfId="12" applyNumberFormat="1" applyFont="1" applyFill="1" applyBorder="1" applyAlignment="1" applyProtection="1">
      <alignment horizontal="right" vertical="center"/>
    </xf>
    <xf numFmtId="0" fontId="14" fillId="2" borderId="8" xfId="0" applyFont="1" applyFill="1" applyBorder="1" applyAlignment="1">
      <alignment horizontal="center"/>
    </xf>
    <xf numFmtId="165" fontId="0" fillId="2" borderId="0" xfId="0" applyNumberFormat="1" applyFill="1"/>
    <xf numFmtId="0" fontId="0" fillId="9" borderId="0" xfId="0" applyFill="1"/>
    <xf numFmtId="0" fontId="18" fillId="9" borderId="0" xfId="0" applyFont="1" applyFill="1"/>
    <xf numFmtId="4" fontId="0" fillId="0" borderId="0" xfId="0" applyNumberFormat="1"/>
    <xf numFmtId="0" fontId="16" fillId="9" borderId="0" xfId="0" applyFont="1" applyFill="1"/>
    <xf numFmtId="0" fontId="42" fillId="9" borderId="0" xfId="0" applyFont="1" applyFill="1"/>
    <xf numFmtId="0" fontId="30" fillId="9" borderId="0" xfId="0" applyFont="1" applyFill="1" applyAlignment="1">
      <alignment horizontal="center"/>
    </xf>
    <xf numFmtId="0" fontId="7" fillId="9" borderId="0" xfId="0" applyFont="1" applyFill="1"/>
    <xf numFmtId="0" fontId="0" fillId="2" borderId="8" xfId="14" applyNumberFormat="1" applyFont="1" applyFill="1" applyBorder="1" applyAlignment="1">
      <alignment horizontal="right"/>
    </xf>
    <xf numFmtId="0" fontId="16" fillId="2" borderId="8" xfId="0" applyFont="1" applyFill="1" applyBorder="1"/>
    <xf numFmtId="0" fontId="16" fillId="2" borderId="0" xfId="0" applyFont="1" applyFill="1"/>
    <xf numFmtId="0" fontId="49" fillId="2" borderId="0" xfId="0" applyFont="1" applyFill="1" applyAlignment="1"/>
    <xf numFmtId="0" fontId="50" fillId="2" borderId="0" xfId="0" applyFont="1" applyFill="1"/>
    <xf numFmtId="49" fontId="51" fillId="2" borderId="0" xfId="0" applyNumberFormat="1" applyFont="1" applyFill="1" applyAlignment="1">
      <alignment wrapText="1"/>
    </xf>
    <xf numFmtId="0" fontId="50" fillId="2" borderId="1" xfId="0" applyFont="1" applyFill="1" applyBorder="1"/>
    <xf numFmtId="49" fontId="52" fillId="2" borderId="9" xfId="0" applyNumberFormat="1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wrapText="1"/>
    </xf>
    <xf numFmtId="0" fontId="50" fillId="2" borderId="8" xfId="0" applyFont="1" applyFill="1" applyBorder="1"/>
    <xf numFmtId="171" fontId="50" fillId="2" borderId="8" xfId="0" applyNumberFormat="1" applyFont="1" applyFill="1" applyBorder="1"/>
    <xf numFmtId="0" fontId="54" fillId="2" borderId="8" xfId="0" applyFont="1" applyFill="1" applyBorder="1"/>
    <xf numFmtId="171" fontId="54" fillId="2" borderId="8" xfId="0" applyNumberFormat="1" applyFont="1" applyFill="1" applyBorder="1"/>
    <xf numFmtId="171" fontId="55" fillId="2" borderId="8" xfId="0" applyNumberFormat="1" applyFont="1" applyFill="1" applyBorder="1"/>
    <xf numFmtId="2" fontId="54" fillId="2" borderId="8" xfId="0" applyNumberFormat="1" applyFont="1" applyFill="1" applyBorder="1"/>
    <xf numFmtId="0" fontId="55" fillId="2" borderId="8" xfId="0" applyFont="1" applyFill="1" applyBorder="1"/>
    <xf numFmtId="2" fontId="55" fillId="2" borderId="8" xfId="0" applyNumberFormat="1" applyFont="1" applyFill="1" applyBorder="1"/>
    <xf numFmtId="170" fontId="54" fillId="2" borderId="8" xfId="0" applyNumberFormat="1" applyFont="1" applyFill="1" applyBorder="1"/>
    <xf numFmtId="0" fontId="50" fillId="2" borderId="58" xfId="0" applyFont="1" applyFill="1" applyBorder="1"/>
    <xf numFmtId="0" fontId="50" fillId="2" borderId="6" xfId="0" applyFont="1" applyFill="1" applyBorder="1"/>
    <xf numFmtId="0" fontId="50" fillId="2" borderId="57" xfId="0" applyFont="1" applyFill="1" applyBorder="1"/>
    <xf numFmtId="49" fontId="52" fillId="2" borderId="9" xfId="0" applyNumberFormat="1" applyFont="1" applyFill="1" applyBorder="1"/>
    <xf numFmtId="0" fontId="50" fillId="2" borderId="9" xfId="0" applyFont="1" applyFill="1" applyBorder="1"/>
    <xf numFmtId="0" fontId="50" fillId="2" borderId="25" xfId="0" applyFont="1" applyFill="1" applyBorder="1"/>
    <xf numFmtId="0" fontId="50" fillId="2" borderId="40" xfId="0" applyFont="1" applyFill="1" applyBorder="1"/>
    <xf numFmtId="170" fontId="59" fillId="2" borderId="0" xfId="0" applyNumberFormat="1" applyFont="1" applyFill="1" applyBorder="1" applyAlignment="1">
      <alignment horizontal="center"/>
    </xf>
    <xf numFmtId="0" fontId="62" fillId="2" borderId="0" xfId="0" applyFont="1" applyFill="1"/>
    <xf numFmtId="0" fontId="55" fillId="2" borderId="0" xfId="0" applyFont="1" applyFill="1" applyBorder="1" applyAlignment="1">
      <alignment horizontal="center" wrapText="1"/>
    </xf>
    <xf numFmtId="170" fontId="55" fillId="2" borderId="0" xfId="0" applyNumberFormat="1" applyFont="1" applyFill="1" applyBorder="1" applyAlignment="1">
      <alignment horizontal="center"/>
    </xf>
    <xf numFmtId="0" fontId="47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vertical="center"/>
    </xf>
    <xf numFmtId="49" fontId="71" fillId="2" borderId="8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70" fontId="0" fillId="0" borderId="0" xfId="0" applyNumberFormat="1"/>
    <xf numFmtId="0" fontId="15" fillId="12" borderId="8" xfId="0" applyFont="1" applyFill="1" applyBorder="1" applyAlignment="1">
      <alignment horizontal="right" vertical="center" wrapText="1"/>
    </xf>
    <xf numFmtId="0" fontId="35" fillId="2" borderId="44" xfId="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/>
    </xf>
    <xf numFmtId="0" fontId="73" fillId="2" borderId="17" xfId="0" applyFont="1" applyFill="1" applyBorder="1" applyAlignment="1">
      <alignment horizontal="center" vertical="center"/>
    </xf>
    <xf numFmtId="0" fontId="73" fillId="2" borderId="17" xfId="0" applyFont="1" applyFill="1" applyBorder="1" applyAlignment="1">
      <alignment horizontal="center" vertical="center" wrapText="1"/>
    </xf>
    <xf numFmtId="0" fontId="73" fillId="2" borderId="9" xfId="0" applyFont="1" applyFill="1" applyBorder="1" applyAlignment="1">
      <alignment horizontal="center"/>
    </xf>
    <xf numFmtId="0" fontId="73" fillId="2" borderId="8" xfId="0" applyFont="1" applyFill="1" applyBorder="1" applyAlignment="1"/>
    <xf numFmtId="0" fontId="73" fillId="2" borderId="8" xfId="0" applyFont="1" applyFill="1" applyBorder="1" applyAlignment="1">
      <alignment horizontal="center"/>
    </xf>
    <xf numFmtId="0" fontId="73" fillId="2" borderId="8" xfId="0" applyFont="1" applyFill="1" applyBorder="1"/>
    <xf numFmtId="0" fontId="73" fillId="2" borderId="8" xfId="0" applyFont="1" applyFill="1" applyBorder="1" applyAlignment="1">
      <alignment wrapText="1"/>
    </xf>
    <xf numFmtId="0" fontId="74" fillId="2" borderId="8" xfId="0" applyFont="1" applyFill="1" applyBorder="1" applyAlignment="1">
      <alignment horizontal="center"/>
    </xf>
    <xf numFmtId="1" fontId="74" fillId="2" borderId="8" xfId="0" applyNumberFormat="1" applyFont="1" applyFill="1" applyBorder="1" applyAlignment="1">
      <alignment horizontal="center"/>
    </xf>
    <xf numFmtId="170" fontId="73" fillId="2" borderId="8" xfId="0" applyNumberFormat="1" applyFont="1" applyFill="1" applyBorder="1"/>
    <xf numFmtId="0" fontId="73" fillId="2" borderId="8" xfId="0" applyFont="1" applyFill="1" applyBorder="1" applyAlignment="1">
      <alignment horizontal="center"/>
    </xf>
    <xf numFmtId="170" fontId="73" fillId="2" borderId="8" xfId="0" applyNumberFormat="1" applyFont="1" applyFill="1" applyBorder="1" applyAlignment="1">
      <alignment horizontal="center"/>
    </xf>
    <xf numFmtId="14" fontId="73" fillId="2" borderId="8" xfId="0" applyNumberFormat="1" applyFont="1" applyFill="1" applyBorder="1" applyAlignment="1"/>
    <xf numFmtId="170" fontId="72" fillId="2" borderId="8" xfId="0" applyNumberFormat="1" applyFont="1" applyFill="1" applyBorder="1" applyAlignment="1">
      <alignment horizontal="center"/>
    </xf>
    <xf numFmtId="16" fontId="73" fillId="2" borderId="8" xfId="0" applyNumberFormat="1" applyFont="1" applyFill="1" applyBorder="1" applyAlignment="1"/>
    <xf numFmtId="0" fontId="72" fillId="2" borderId="8" xfId="0" applyFont="1" applyFill="1" applyBorder="1" applyAlignment="1"/>
    <xf numFmtId="2" fontId="72" fillId="2" borderId="8" xfId="0" applyNumberFormat="1" applyFont="1" applyFill="1" applyBorder="1" applyAlignment="1">
      <alignment horizontal="center"/>
    </xf>
    <xf numFmtId="1" fontId="72" fillId="2" borderId="8" xfId="0" applyNumberFormat="1" applyFont="1" applyFill="1" applyBorder="1" applyAlignment="1">
      <alignment horizontal="center"/>
    </xf>
    <xf numFmtId="0" fontId="73" fillId="2" borderId="25" xfId="0" applyFont="1" applyFill="1" applyBorder="1"/>
    <xf numFmtId="0" fontId="73" fillId="2" borderId="25" xfId="0" applyFont="1" applyFill="1" applyBorder="1" applyAlignment="1"/>
    <xf numFmtId="0" fontId="16" fillId="2" borderId="9" xfId="0" applyFont="1" applyFill="1" applyBorder="1"/>
    <xf numFmtId="0" fontId="73" fillId="2" borderId="9" xfId="0" applyFont="1" applyFill="1" applyBorder="1"/>
    <xf numFmtId="0" fontId="42" fillId="2" borderId="0" xfId="0" applyFont="1" applyFill="1"/>
    <xf numFmtId="0" fontId="16" fillId="2" borderId="0" xfId="0" applyFont="1" applyFill="1" applyAlignment="1">
      <alignment horizontal="center" wrapText="1"/>
    </xf>
    <xf numFmtId="0" fontId="0" fillId="0" borderId="0" xfId="0" applyFont="1"/>
    <xf numFmtId="0" fontId="0" fillId="2" borderId="9" xfId="0" applyFont="1" applyFill="1" applyBorder="1" applyAlignment="1">
      <alignment horizontal="center"/>
    </xf>
    <xf numFmtId="0" fontId="0" fillId="0" borderId="0" xfId="0" applyFont="1" applyBorder="1"/>
    <xf numFmtId="0" fontId="75" fillId="2" borderId="8" xfId="0" applyFont="1" applyFill="1" applyBorder="1" applyAlignment="1"/>
    <xf numFmtId="0" fontId="76" fillId="2" borderId="8" xfId="0" applyFont="1" applyFill="1" applyBorder="1" applyAlignment="1">
      <alignment horizontal="center" vertical="center" wrapText="1"/>
    </xf>
    <xf numFmtId="0" fontId="75" fillId="2" borderId="8" xfId="0" applyFont="1" applyFill="1" applyBorder="1" applyAlignment="1">
      <alignment horizontal="center" vertical="center" wrapText="1"/>
    </xf>
    <xf numFmtId="0" fontId="75" fillId="2" borderId="13" xfId="0" applyFont="1" applyFill="1" applyBorder="1" applyAlignment="1">
      <alignment horizontal="center" vertical="center" wrapText="1"/>
    </xf>
    <xf numFmtId="2" fontId="16" fillId="0" borderId="8" xfId="0" applyNumberFormat="1" applyFont="1" applyBorder="1" applyAlignment="1"/>
    <xf numFmtId="0" fontId="76" fillId="2" borderId="8" xfId="0" applyFont="1" applyFill="1" applyBorder="1" applyAlignment="1">
      <alignment wrapText="1"/>
    </xf>
    <xf numFmtId="0" fontId="75" fillId="2" borderId="8" xfId="0" applyFont="1" applyFill="1" applyBorder="1" applyAlignment="1">
      <alignment wrapText="1"/>
    </xf>
    <xf numFmtId="2" fontId="76" fillId="2" borderId="8" xfId="0" applyNumberFormat="1" applyFont="1" applyFill="1" applyBorder="1" applyAlignment="1">
      <alignment wrapText="1"/>
    </xf>
    <xf numFmtId="0" fontId="77" fillId="2" borderId="0" xfId="9" applyFont="1" applyFill="1"/>
    <xf numFmtId="0" fontId="75" fillId="2" borderId="0" xfId="9" applyFont="1" applyFill="1" applyAlignment="1">
      <alignment horizontal="right"/>
    </xf>
    <xf numFmtId="0" fontId="77" fillId="2" borderId="17" xfId="9" applyFont="1" applyFill="1" applyBorder="1" applyAlignment="1">
      <alignment horizontal="center" vertical="center" wrapText="1"/>
    </xf>
    <xf numFmtId="0" fontId="77" fillId="2" borderId="41" xfId="9" applyFont="1" applyFill="1" applyBorder="1" applyAlignment="1">
      <alignment wrapText="1"/>
    </xf>
    <xf numFmtId="0" fontId="75" fillId="2" borderId="8" xfId="0" applyFont="1" applyFill="1" applyBorder="1" applyAlignment="1">
      <alignment horizontal="center"/>
    </xf>
    <xf numFmtId="0" fontId="75" fillId="2" borderId="8" xfId="9" applyFont="1" applyFill="1" applyBorder="1" applyAlignment="1">
      <alignment horizontal="center"/>
    </xf>
    <xf numFmtId="0" fontId="77" fillId="2" borderId="8" xfId="9" applyFont="1" applyFill="1" applyBorder="1" applyAlignment="1">
      <alignment wrapText="1"/>
    </xf>
    <xf numFmtId="0" fontId="77" fillId="2" borderId="13" xfId="9" applyFont="1" applyFill="1" applyBorder="1" applyAlignment="1">
      <alignment horizontal="center" vertical="center" wrapText="1"/>
    </xf>
    <xf numFmtId="0" fontId="75" fillId="2" borderId="8" xfId="9" applyFont="1" applyFill="1" applyBorder="1" applyAlignment="1">
      <alignment wrapText="1"/>
    </xf>
    <xf numFmtId="16" fontId="75" fillId="2" borderId="8" xfId="9" applyNumberFormat="1" applyFont="1" applyFill="1" applyBorder="1" applyAlignment="1">
      <alignment horizontal="center"/>
    </xf>
    <xf numFmtId="0" fontId="76" fillId="2" borderId="8" xfId="9" applyFont="1" applyFill="1" applyBorder="1" applyAlignment="1">
      <alignment horizontal="center"/>
    </xf>
    <xf numFmtId="0" fontId="79" fillId="2" borderId="8" xfId="9" applyFont="1" applyFill="1" applyBorder="1" applyAlignment="1">
      <alignment wrapText="1"/>
    </xf>
    <xf numFmtId="0" fontId="77" fillId="2" borderId="17" xfId="9" applyFont="1" applyFill="1" applyBorder="1" applyAlignment="1">
      <alignment wrapText="1"/>
    </xf>
    <xf numFmtId="167" fontId="78" fillId="2" borderId="41" xfId="9" applyNumberFormat="1" applyFont="1" applyFill="1" applyBorder="1" applyAlignment="1">
      <alignment horizontal="center" vertical="center" wrapText="1"/>
    </xf>
    <xf numFmtId="0" fontId="77" fillId="2" borderId="0" xfId="9" applyFont="1" applyFill="1" applyBorder="1" applyAlignment="1">
      <alignment wrapText="1"/>
    </xf>
    <xf numFmtId="0" fontId="77" fillId="2" borderId="13" xfId="0" applyFont="1" applyFill="1" applyBorder="1" applyAlignment="1">
      <alignment horizontal="center"/>
    </xf>
    <xf numFmtId="167" fontId="78" fillId="2" borderId="13" xfId="0" applyNumberFormat="1" applyFont="1" applyFill="1" applyBorder="1" applyAlignment="1">
      <alignment horizontal="center" vertical="center" wrapText="1"/>
    </xf>
    <xf numFmtId="167" fontId="78" fillId="2" borderId="13" xfId="9" applyNumberFormat="1" applyFont="1" applyFill="1" applyBorder="1" applyAlignment="1">
      <alignment horizontal="center" vertical="center" wrapText="1"/>
    </xf>
    <xf numFmtId="0" fontId="78" fillId="2" borderId="1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75" fillId="2" borderId="0" xfId="0" applyFont="1" applyFill="1" applyBorder="1" applyAlignment="1">
      <alignment wrapText="1"/>
    </xf>
    <xf numFmtId="2" fontId="16" fillId="0" borderId="0" xfId="0" applyNumberFormat="1" applyFont="1" applyBorder="1" applyAlignment="1"/>
    <xf numFmtId="167" fontId="78" fillId="2" borderId="8" xfId="0" applyNumberFormat="1" applyFont="1" applyFill="1" applyBorder="1" applyAlignment="1">
      <alignment horizontal="center" vertical="center" wrapText="1"/>
    </xf>
    <xf numFmtId="167" fontId="78" fillId="2" borderId="8" xfId="9" applyNumberFormat="1" applyFont="1" applyFill="1" applyBorder="1" applyAlignment="1">
      <alignment horizontal="center" vertical="center" wrapText="1"/>
    </xf>
    <xf numFmtId="167" fontId="35" fillId="12" borderId="8" xfId="0" applyNumberFormat="1" applyFont="1" applyFill="1" applyBorder="1" applyAlignment="1">
      <alignment horizontal="center"/>
    </xf>
    <xf numFmtId="2" fontId="25" fillId="12" borderId="8" xfId="0" applyNumberFormat="1" applyFont="1" applyFill="1" applyBorder="1"/>
    <xf numFmtId="2" fontId="16" fillId="0" borderId="8" xfId="0" applyNumberFormat="1" applyFont="1" applyBorder="1"/>
    <xf numFmtId="0" fontId="25" fillId="0" borderId="8" xfId="0" applyFont="1" applyBorder="1"/>
    <xf numFmtId="0" fontId="25" fillId="0" borderId="8" xfId="0" applyFont="1" applyFill="1" applyBorder="1"/>
    <xf numFmtId="0" fontId="25" fillId="2" borderId="8" xfId="0" applyFont="1" applyFill="1" applyBorder="1"/>
    <xf numFmtId="170" fontId="80" fillId="0" borderId="8" xfId="0" applyNumberFormat="1" applyFont="1" applyBorder="1"/>
    <xf numFmtId="2" fontId="80" fillId="0" borderId="8" xfId="0" applyNumberFormat="1" applyFont="1" applyBorder="1"/>
    <xf numFmtId="2" fontId="1" fillId="2" borderId="8" xfId="0" applyNumberFormat="1" applyFont="1" applyFill="1" applyBorder="1"/>
    <xf numFmtId="0" fontId="77" fillId="2" borderId="8" xfId="9" applyFont="1" applyFill="1" applyBorder="1" applyAlignment="1">
      <alignment horizontal="center" vertical="center" wrapText="1"/>
    </xf>
    <xf numFmtId="0" fontId="0" fillId="2" borderId="0" xfId="0" applyFont="1" applyFill="1" applyBorder="1"/>
    <xf numFmtId="1" fontId="18" fillId="2" borderId="0" xfId="0" applyNumberFormat="1" applyFont="1" applyFill="1" applyBorder="1"/>
    <xf numFmtId="2" fontId="0" fillId="2" borderId="13" xfId="0" applyNumberFormat="1" applyFill="1" applyBorder="1"/>
    <xf numFmtId="4" fontId="78" fillId="2" borderId="13" xfId="9" applyNumberFormat="1" applyFont="1" applyFill="1" applyBorder="1" applyAlignment="1">
      <alignment horizontal="center" vertical="center" wrapText="1"/>
    </xf>
    <xf numFmtId="4" fontId="78" fillId="2" borderId="8" xfId="9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vertical="top"/>
    </xf>
    <xf numFmtId="49" fontId="0" fillId="0" borderId="8" xfId="0" applyNumberFormat="1" applyBorder="1" applyAlignment="1">
      <alignment vertical="top" wrapText="1"/>
    </xf>
    <xf numFmtId="0" fontId="21" fillId="0" borderId="11" xfId="3" applyBorder="1">
      <alignment horizontal="center" vertical="center" wrapText="1"/>
    </xf>
    <xf numFmtId="0" fontId="21" fillId="0" borderId="8" xfId="3" applyBorder="1" applyAlignment="1">
      <alignment horizontal="center" vertical="center" wrapText="1"/>
    </xf>
    <xf numFmtId="0" fontId="21" fillId="0" borderId="32" xfId="3" applyBorder="1">
      <alignment horizontal="center" vertical="center" wrapText="1"/>
    </xf>
    <xf numFmtId="0" fontId="21" fillId="0" borderId="8" xfId="3" applyBorder="1">
      <alignment horizontal="center" vertical="center" wrapText="1"/>
    </xf>
    <xf numFmtId="49" fontId="16" fillId="0" borderId="11" xfId="0" applyNumberFormat="1" applyFont="1" applyBorder="1" applyAlignment="1">
      <alignment vertical="top"/>
    </xf>
    <xf numFmtId="49" fontId="16" fillId="0" borderId="8" xfId="0" applyNumberFormat="1" applyFont="1" applyBorder="1" applyAlignment="1">
      <alignment vertical="top"/>
    </xf>
    <xf numFmtId="0" fontId="56" fillId="0" borderId="11" xfId="3" applyFont="1" applyBorder="1">
      <alignment horizontal="center" vertical="center" wrapText="1"/>
    </xf>
    <xf numFmtId="0" fontId="57" fillId="0" borderId="32" xfId="3" applyFont="1" applyBorder="1">
      <alignment horizontal="center" vertical="center" wrapText="1"/>
    </xf>
    <xf numFmtId="0" fontId="57" fillId="0" borderId="8" xfId="3" applyFont="1" applyBorder="1">
      <alignment horizontal="center" vertical="center" wrapText="1"/>
    </xf>
    <xf numFmtId="0" fontId="10" fillId="0" borderId="0" xfId="0" applyFont="1"/>
    <xf numFmtId="4" fontId="57" fillId="4" borderId="12" xfId="5" applyNumberFormat="1" applyFont="1" applyBorder="1">
      <alignment horizontal="right"/>
    </xf>
    <xf numFmtId="0" fontId="68" fillId="0" borderId="8" xfId="13" applyFont="1" applyBorder="1" applyAlignment="1" applyProtection="1">
      <alignment horizontal="center" vertical="center" wrapText="1"/>
    </xf>
    <xf numFmtId="2" fontId="18" fillId="0" borderId="8" xfId="0" applyNumberFormat="1" applyFont="1" applyBorder="1"/>
    <xf numFmtId="168" fontId="68" fillId="7" borderId="8" xfId="12" applyNumberFormat="1" applyFont="1" applyFill="1" applyBorder="1" applyAlignment="1" applyProtection="1">
      <alignment horizontal="right" vertical="center"/>
      <protection locked="0"/>
    </xf>
    <xf numFmtId="168" fontId="68" fillId="7" borderId="8" xfId="12" applyNumberFormat="1" applyFont="1" applyFill="1" applyBorder="1" applyAlignment="1" applyProtection="1">
      <alignment horizontal="right" vertical="center"/>
    </xf>
    <xf numFmtId="168" fontId="68" fillId="10" borderId="8" xfId="12" applyNumberFormat="1" applyFont="1" applyFill="1" applyBorder="1" applyAlignment="1" applyProtection="1">
      <alignment horizontal="right" vertical="center"/>
    </xf>
    <xf numFmtId="49" fontId="68" fillId="0" borderId="8" xfId="12" applyFont="1" applyBorder="1" applyAlignment="1" applyProtection="1">
      <alignment horizontal="left" vertical="top" wrapText="1"/>
    </xf>
    <xf numFmtId="4" fontId="68" fillId="7" borderId="8" xfId="12" applyNumberFormat="1" applyFont="1" applyFill="1" applyBorder="1" applyAlignment="1" applyProtection="1">
      <alignment horizontal="right" vertical="center"/>
    </xf>
    <xf numFmtId="4" fontId="68" fillId="10" borderId="8" xfId="12" applyNumberFormat="1" applyFont="1" applyFill="1" applyBorder="1" applyAlignment="1" applyProtection="1">
      <alignment horizontal="right" vertical="center"/>
    </xf>
    <xf numFmtId="0" fontId="43" fillId="2" borderId="0" xfId="0" applyFont="1" applyFill="1" applyAlignment="1">
      <alignment horizontal="left" vertical="center" wrapText="1"/>
    </xf>
    <xf numFmtId="0" fontId="81" fillId="2" borderId="8" xfId="0" applyFont="1" applyFill="1" applyBorder="1" applyAlignment="1">
      <alignment wrapText="1"/>
    </xf>
    <xf numFmtId="0" fontId="0" fillId="0" borderId="0" xfId="0" applyAlignment="1">
      <alignment horizontal="center"/>
    </xf>
    <xf numFmtId="16" fontId="14" fillId="2" borderId="17" xfId="9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 vertical="center"/>
    </xf>
    <xf numFmtId="0" fontId="43" fillId="2" borderId="8" xfId="0" applyFont="1" applyFill="1" applyBorder="1"/>
    <xf numFmtId="0" fontId="31" fillId="2" borderId="8" xfId="0" applyFont="1" applyFill="1" applyBorder="1"/>
    <xf numFmtId="0" fontId="13" fillId="2" borderId="8" xfId="0" applyFont="1" applyFill="1" applyBorder="1" applyAlignment="1">
      <alignment horizontal="center" vertical="center"/>
    </xf>
    <xf numFmtId="170" fontId="31" fillId="2" borderId="8" xfId="0" applyNumberFormat="1" applyFont="1" applyFill="1" applyBorder="1"/>
    <xf numFmtId="0" fontId="31" fillId="2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right"/>
    </xf>
    <xf numFmtId="0" fontId="63" fillId="0" borderId="8" xfId="0" applyFont="1" applyBorder="1"/>
    <xf numFmtId="0" fontId="82" fillId="0" borderId="0" xfId="0" applyFont="1" applyAlignment="1"/>
    <xf numFmtId="2" fontId="0" fillId="0" borderId="0" xfId="0" applyNumberFormat="1" applyBorder="1"/>
    <xf numFmtId="2" fontId="18" fillId="0" borderId="0" xfId="0" applyNumberFormat="1" applyFont="1" applyBorder="1"/>
    <xf numFmtId="165" fontId="0" fillId="0" borderId="8" xfId="0" applyNumberFormat="1" applyBorder="1"/>
    <xf numFmtId="165" fontId="0" fillId="0" borderId="8" xfId="0" applyNumberFormat="1" applyBorder="1" applyAlignment="1">
      <alignment wrapText="1"/>
    </xf>
    <xf numFmtId="2" fontId="0" fillId="0" borderId="8" xfId="0" applyNumberFormat="1" applyFont="1" applyBorder="1"/>
    <xf numFmtId="2" fontId="0" fillId="0" borderId="8" xfId="0" applyNumberFormat="1" applyBorder="1" applyAlignment="1">
      <alignment wrapText="1"/>
    </xf>
    <xf numFmtId="165" fontId="18" fillId="0" borderId="8" xfId="0" applyNumberFormat="1" applyFont="1" applyBorder="1"/>
    <xf numFmtId="165" fontId="0" fillId="0" borderId="0" xfId="0" applyNumberFormat="1"/>
    <xf numFmtId="0" fontId="0" fillId="2" borderId="17" xfId="0" applyFill="1" applyBorder="1" applyAlignment="1">
      <alignment horizontal="right" vertical="center"/>
    </xf>
    <xf numFmtId="0" fontId="83" fillId="2" borderId="8" xfId="0" applyFont="1" applyFill="1" applyBorder="1"/>
    <xf numFmtId="0" fontId="83" fillId="0" borderId="8" xfId="0" applyFont="1" applyBorder="1"/>
    <xf numFmtId="0" fontId="0" fillId="0" borderId="8" xfId="0" applyFill="1" applyBorder="1"/>
    <xf numFmtId="0" fontId="18" fillId="0" borderId="0" xfId="0" applyFont="1" applyBorder="1"/>
    <xf numFmtId="0" fontId="18" fillId="0" borderId="0" xfId="0" applyFont="1" applyAlignment="1"/>
    <xf numFmtId="0" fontId="17" fillId="0" borderId="0" xfId="0" applyFont="1" applyAlignment="1"/>
    <xf numFmtId="171" fontId="0" fillId="0" borderId="8" xfId="0" applyNumberFormat="1" applyBorder="1"/>
    <xf numFmtId="171" fontId="0" fillId="2" borderId="0" xfId="0" applyNumberFormat="1" applyFill="1"/>
    <xf numFmtId="171" fontId="0" fillId="2" borderId="8" xfId="0" applyNumberFormat="1" applyFill="1" applyBorder="1"/>
    <xf numFmtId="171" fontId="18" fillId="13" borderId="8" xfId="0" applyNumberFormat="1" applyFont="1" applyFill="1" applyBorder="1"/>
    <xf numFmtId="2" fontId="0" fillId="2" borderId="0" xfId="0" applyNumberFormat="1" applyFill="1"/>
    <xf numFmtId="0" fontId="60" fillId="2" borderId="0" xfId="0" applyFont="1" applyFill="1"/>
    <xf numFmtId="49" fontId="7" fillId="2" borderId="0" xfId="0" applyNumberFormat="1" applyFont="1" applyFill="1" applyAlignment="1">
      <alignment horizontal="left"/>
    </xf>
    <xf numFmtId="49" fontId="5" fillId="2" borderId="0" xfId="0" applyNumberFormat="1" applyFont="1" applyFill="1"/>
    <xf numFmtId="0" fontId="5" fillId="2" borderId="0" xfId="0" applyFont="1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47" fillId="2" borderId="8" xfId="0" applyFont="1" applyFill="1" applyBorder="1" applyAlignment="1">
      <alignment wrapText="1"/>
    </xf>
    <xf numFmtId="0" fontId="0" fillId="2" borderId="8" xfId="0" applyFill="1" applyBorder="1" applyAlignment="1">
      <alignment horizontal="center" vertical="center" wrapText="1"/>
    </xf>
    <xf numFmtId="166" fontId="0" fillId="2" borderId="8" xfId="0" applyNumberFormat="1" applyFill="1" applyBorder="1"/>
    <xf numFmtId="14" fontId="0" fillId="2" borderId="8" xfId="0" applyNumberForma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170" fontId="42" fillId="2" borderId="8" xfId="0" applyNumberFormat="1" applyFont="1" applyFill="1" applyBorder="1"/>
    <xf numFmtId="165" fontId="0" fillId="2" borderId="8" xfId="0" applyNumberFormat="1" applyFill="1" applyBorder="1"/>
    <xf numFmtId="172" fontId="0" fillId="2" borderId="0" xfId="0" applyNumberFormat="1" applyFill="1"/>
    <xf numFmtId="2" fontId="18" fillId="2" borderId="0" xfId="0" applyNumberFormat="1" applyFont="1" applyFill="1"/>
    <xf numFmtId="0" fontId="13" fillId="2" borderId="0" xfId="9" applyFont="1" applyFill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/>
    <xf numFmtId="0" fontId="0" fillId="2" borderId="0" xfId="0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50" fillId="2" borderId="8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73" fillId="2" borderId="8" xfId="0" applyFont="1" applyFill="1" applyBorder="1" applyAlignment="1">
      <alignment horizontal="center"/>
    </xf>
    <xf numFmtId="2" fontId="13" fillId="8" borderId="30" xfId="0" applyNumberFormat="1" applyFont="1" applyFill="1" applyBorder="1" applyAlignment="1">
      <alignment horizontal="justify" vertical="top" wrapText="1"/>
    </xf>
    <xf numFmtId="49" fontId="5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/>
    </xf>
    <xf numFmtId="0" fontId="18" fillId="2" borderId="37" xfId="0" applyFont="1" applyFill="1" applyBorder="1" applyAlignment="1">
      <alignment wrapText="1"/>
    </xf>
    <xf numFmtId="0" fontId="78" fillId="2" borderId="0" xfId="9" applyFont="1" applyFill="1" applyAlignment="1">
      <alignment horizontal="center" vertical="center" wrapText="1"/>
    </xf>
    <xf numFmtId="0" fontId="73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2" fillId="0" borderId="8" xfId="0" applyFont="1" applyBorder="1" applyAlignment="1"/>
    <xf numFmtId="2" fontId="42" fillId="0" borderId="8" xfId="0" applyNumberFormat="1" applyFont="1" applyBorder="1" applyAlignment="1"/>
    <xf numFmtId="0" fontId="3" fillId="2" borderId="45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vertical="center" wrapText="1"/>
    </xf>
    <xf numFmtId="0" fontId="2" fillId="2" borderId="8" xfId="0" applyFont="1" applyFill="1" applyBorder="1" applyAlignment="1"/>
    <xf numFmtId="0" fontId="1" fillId="2" borderId="8" xfId="0" applyFont="1" applyFill="1" applyBorder="1" applyAlignment="1">
      <alignment horizontal="right"/>
    </xf>
    <xf numFmtId="0" fontId="1" fillId="2" borderId="0" xfId="0" applyFont="1" applyFill="1" applyBorder="1" applyAlignment="1">
      <alignment vertical="center"/>
    </xf>
    <xf numFmtId="0" fontId="79" fillId="2" borderId="8" xfId="0" applyFont="1" applyFill="1" applyBorder="1" applyAlignment="1">
      <alignment horizontal="center"/>
    </xf>
    <xf numFmtId="0" fontId="77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1" fillId="2" borderId="0" xfId="0" applyFont="1" applyFill="1" applyBorder="1" applyAlignment="1">
      <alignment horizontal="right"/>
    </xf>
    <xf numFmtId="0" fontId="41" fillId="2" borderId="0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center"/>
    </xf>
    <xf numFmtId="0" fontId="7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4" fillId="2" borderId="8" xfId="0" applyFont="1" applyFill="1" applyBorder="1" applyAlignment="1">
      <alignment horizontal="right"/>
    </xf>
    <xf numFmtId="0" fontId="77" fillId="2" borderId="0" xfId="0" applyFont="1" applyFill="1" applyAlignment="1">
      <alignment wrapText="1"/>
    </xf>
    <xf numFmtId="0" fontId="78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2" borderId="8" xfId="0" applyFont="1" applyFill="1" applyBorder="1" applyAlignment="1"/>
    <xf numFmtId="0" fontId="77" fillId="2" borderId="13" xfId="9" applyFont="1" applyFill="1" applyBorder="1" applyAlignment="1">
      <alignment horizontal="center" wrapText="1"/>
    </xf>
    <xf numFmtId="2" fontId="77" fillId="2" borderId="13" xfId="9" applyNumberFormat="1" applyFont="1" applyFill="1" applyBorder="1" applyAlignment="1">
      <alignment horizontal="center" wrapText="1"/>
    </xf>
    <xf numFmtId="2" fontId="77" fillId="2" borderId="8" xfId="9" applyNumberFormat="1" applyFont="1" applyFill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center"/>
    </xf>
    <xf numFmtId="0" fontId="77" fillId="2" borderId="8" xfId="9" applyFont="1" applyFill="1" applyBorder="1" applyAlignment="1">
      <alignment horizontal="center" wrapText="1"/>
    </xf>
    <xf numFmtId="170" fontId="77" fillId="2" borderId="13" xfId="9" applyNumberFormat="1" applyFont="1" applyFill="1" applyBorder="1" applyAlignment="1">
      <alignment horizontal="center" wrapText="1"/>
    </xf>
    <xf numFmtId="170" fontId="77" fillId="2" borderId="8" xfId="9" applyNumberFormat="1" applyFont="1" applyFill="1" applyBorder="1" applyAlignment="1">
      <alignment horizontal="center" wrapText="1"/>
    </xf>
    <xf numFmtId="170" fontId="15" fillId="2" borderId="8" xfId="0" applyNumberFormat="1" applyFont="1" applyFill="1" applyBorder="1" applyAlignment="1">
      <alignment horizontal="right" vertical="center" wrapText="1"/>
    </xf>
    <xf numFmtId="170" fontId="1" fillId="2" borderId="8" xfId="0" applyNumberFormat="1" applyFont="1" applyFill="1" applyBorder="1"/>
    <xf numFmtId="170" fontId="32" fillId="2" borderId="8" xfId="0" applyNumberFormat="1" applyFont="1" applyFill="1" applyBorder="1" applyAlignment="1">
      <alignment horizontal="right"/>
    </xf>
    <xf numFmtId="170" fontId="32" fillId="0" borderId="8" xfId="0" applyNumberFormat="1" applyFont="1" applyBorder="1" applyAlignment="1">
      <alignment horizontal="right" vertical="center" wrapText="1"/>
    </xf>
    <xf numFmtId="2" fontId="18" fillId="2" borderId="0" xfId="0" applyNumberFormat="1" applyFont="1" applyFill="1" applyBorder="1"/>
    <xf numFmtId="0" fontId="18" fillId="2" borderId="0" xfId="0" applyFont="1" applyFill="1" applyBorder="1" applyAlignment="1">
      <alignment wrapText="1"/>
    </xf>
    <xf numFmtId="170" fontId="14" fillId="2" borderId="8" xfId="0" applyNumberFormat="1" applyFont="1" applyFill="1" applyBorder="1" applyAlignment="1">
      <alignment horizontal="right" vertical="center" wrapText="1"/>
    </xf>
    <xf numFmtId="2" fontId="1" fillId="2" borderId="8" xfId="0" applyNumberFormat="1" applyFont="1" applyFill="1" applyBorder="1" applyAlignment="1">
      <alignment horizontal="right" vertical="center"/>
    </xf>
    <xf numFmtId="165" fontId="25" fillId="0" borderId="8" xfId="0" applyNumberFormat="1" applyFont="1" applyFill="1" applyBorder="1"/>
    <xf numFmtId="165" fontId="25" fillId="2" borderId="8" xfId="0" applyNumberFormat="1" applyFont="1" applyFill="1" applyBorder="1"/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wrapText="1"/>
    </xf>
    <xf numFmtId="0" fontId="35" fillId="0" borderId="0" xfId="0" applyFont="1" applyBorder="1" applyAlignment="1">
      <alignment horizontal="center"/>
    </xf>
    <xf numFmtId="2" fontId="80" fillId="0" borderId="0" xfId="0" applyNumberFormat="1" applyFont="1" applyBorder="1"/>
    <xf numFmtId="0" fontId="1" fillId="2" borderId="13" xfId="0" applyFont="1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center"/>
    </xf>
    <xf numFmtId="0" fontId="41" fillId="2" borderId="13" xfId="0" applyFont="1" applyFill="1" applyBorder="1" applyAlignment="1">
      <alignment horizontal="left"/>
    </xf>
    <xf numFmtId="0" fontId="41" fillId="2" borderId="14" xfId="0" applyFont="1" applyFill="1" applyBorder="1" applyAlignment="1">
      <alignment horizontal="left"/>
    </xf>
    <xf numFmtId="0" fontId="41" fillId="2" borderId="15" xfId="0" applyFont="1" applyFill="1" applyBorder="1" applyAlignment="1">
      <alignment horizontal="left"/>
    </xf>
    <xf numFmtId="0" fontId="44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41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41" fillId="2" borderId="8" xfId="0" applyFont="1" applyFill="1" applyBorder="1" applyAlignment="1">
      <alignment horizontal="center"/>
    </xf>
    <xf numFmtId="0" fontId="41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wrapText="1"/>
    </xf>
    <xf numFmtId="0" fontId="47" fillId="2" borderId="42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47" fillId="2" borderId="25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wrapText="1"/>
    </xf>
    <xf numFmtId="0" fontId="46" fillId="2" borderId="21" xfId="0" applyFont="1" applyFill="1" applyBorder="1" applyAlignment="1">
      <alignment horizontal="center" wrapText="1"/>
    </xf>
    <xf numFmtId="49" fontId="45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 wrapText="1"/>
    </xf>
    <xf numFmtId="0" fontId="46" fillId="2" borderId="12" xfId="0" applyFont="1" applyFill="1" applyBorder="1" applyAlignment="1">
      <alignment horizontal="center" wrapText="1"/>
    </xf>
    <xf numFmtId="0" fontId="46" fillId="2" borderId="18" xfId="0" applyFont="1" applyFill="1" applyBorder="1" applyAlignment="1">
      <alignment horizontal="center" wrapText="1"/>
    </xf>
    <xf numFmtId="0" fontId="49" fillId="2" borderId="0" xfId="0" applyFont="1" applyFill="1" applyAlignment="1">
      <alignment horizontal="center"/>
    </xf>
    <xf numFmtId="49" fontId="51" fillId="2" borderId="0" xfId="0" applyNumberFormat="1" applyFont="1" applyFill="1" applyBorder="1" applyAlignment="1">
      <alignment horizontal="center" wrapText="1"/>
    </xf>
    <xf numFmtId="49" fontId="52" fillId="2" borderId="2" xfId="0" applyNumberFormat="1" applyFont="1" applyFill="1" applyBorder="1" applyAlignment="1">
      <alignment horizontal="center" vertical="center" wrapText="1"/>
    </xf>
    <xf numFmtId="49" fontId="52" fillId="2" borderId="21" xfId="0" applyNumberFormat="1" applyFont="1" applyFill="1" applyBorder="1" applyAlignment="1">
      <alignment horizontal="center" vertical="center" wrapText="1"/>
    </xf>
    <xf numFmtId="49" fontId="52" fillId="2" borderId="29" xfId="0" applyNumberFormat="1" applyFont="1" applyFill="1" applyBorder="1" applyAlignment="1">
      <alignment horizontal="center" vertical="center" wrapText="1"/>
    </xf>
    <xf numFmtId="49" fontId="52" fillId="2" borderId="27" xfId="0" applyNumberFormat="1" applyFont="1" applyFill="1" applyBorder="1" applyAlignment="1">
      <alignment horizontal="center" vertical="center" wrapText="1"/>
    </xf>
    <xf numFmtId="49" fontId="52" fillId="2" borderId="28" xfId="0" applyNumberFormat="1" applyFont="1" applyFill="1" applyBorder="1" applyAlignment="1">
      <alignment horizontal="center" vertical="center" wrapText="1"/>
    </xf>
    <xf numFmtId="49" fontId="52" fillId="2" borderId="7" xfId="0" applyNumberFormat="1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 wrapText="1"/>
    </xf>
    <xf numFmtId="0" fontId="52" fillId="2" borderId="21" xfId="0" applyFont="1" applyFill="1" applyBorder="1" applyAlignment="1">
      <alignment horizontal="center" vertical="center" wrapText="1"/>
    </xf>
    <xf numFmtId="0" fontId="52" fillId="2" borderId="29" xfId="0" applyFont="1" applyFill="1" applyBorder="1" applyAlignment="1">
      <alignment horizontal="center" vertical="center" wrapText="1"/>
    </xf>
    <xf numFmtId="0" fontId="53" fillId="2" borderId="32" xfId="0" applyFont="1" applyFill="1" applyBorder="1" applyAlignment="1">
      <alignment horizontal="center" wrapText="1"/>
    </xf>
    <xf numFmtId="0" fontId="53" fillId="2" borderId="8" xfId="0" applyFont="1" applyFill="1" applyBorder="1" applyAlignment="1">
      <alignment horizontal="center" wrapText="1"/>
    </xf>
    <xf numFmtId="0" fontId="53" fillId="2" borderId="34" xfId="0" applyFont="1" applyFill="1" applyBorder="1" applyAlignment="1">
      <alignment horizontal="center" wrapText="1"/>
    </xf>
    <xf numFmtId="0" fontId="53" fillId="2" borderId="33" xfId="0" applyFont="1" applyFill="1" applyBorder="1" applyAlignment="1">
      <alignment horizontal="center" wrapText="1"/>
    </xf>
    <xf numFmtId="0" fontId="53" fillId="2" borderId="12" xfId="0" applyFont="1" applyFill="1" applyBorder="1" applyAlignment="1">
      <alignment horizontal="center" wrapText="1"/>
    </xf>
    <xf numFmtId="0" fontId="53" fillId="2" borderId="35" xfId="0" applyFont="1" applyFill="1" applyBorder="1" applyAlignment="1">
      <alignment horizontal="center" wrapText="1"/>
    </xf>
    <xf numFmtId="49" fontId="51" fillId="2" borderId="8" xfId="0" applyNumberFormat="1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/>
    </xf>
    <xf numFmtId="49" fontId="52" fillId="2" borderId="13" xfId="0" applyNumberFormat="1" applyFont="1" applyFill="1" applyBorder="1" applyAlignment="1">
      <alignment horizontal="center" vertical="center" wrapText="1"/>
    </xf>
    <xf numFmtId="49" fontId="52" fillId="2" borderId="15" xfId="0" applyNumberFormat="1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/>
    </xf>
    <xf numFmtId="14" fontId="50" fillId="2" borderId="8" xfId="0" applyNumberFormat="1" applyFont="1" applyFill="1" applyBorder="1" applyAlignment="1">
      <alignment horizontal="center" vertical="center"/>
    </xf>
    <xf numFmtId="49" fontId="52" fillId="2" borderId="41" xfId="0" applyNumberFormat="1" applyFont="1" applyFill="1" applyBorder="1" applyAlignment="1">
      <alignment horizontal="center" vertical="center" wrapText="1"/>
    </xf>
    <xf numFmtId="49" fontId="52" fillId="2" borderId="42" xfId="0" applyNumberFormat="1" applyFont="1" applyFill="1" applyBorder="1" applyAlignment="1">
      <alignment horizontal="center" vertical="center" wrapText="1"/>
    </xf>
    <xf numFmtId="49" fontId="52" fillId="2" borderId="43" xfId="0" applyNumberFormat="1" applyFont="1" applyFill="1" applyBorder="1" applyAlignment="1">
      <alignment horizontal="center" vertical="center" wrapText="1"/>
    </xf>
    <xf numFmtId="49" fontId="52" fillId="2" borderId="10" xfId="0" applyNumberFormat="1" applyFont="1" applyFill="1" applyBorder="1" applyAlignment="1">
      <alignment horizontal="center" vertical="center" wrapText="1"/>
    </xf>
    <xf numFmtId="49" fontId="52" fillId="2" borderId="0" xfId="0" applyNumberFormat="1" applyFont="1" applyFill="1" applyBorder="1" applyAlignment="1">
      <alignment horizontal="center" vertical="center" wrapText="1"/>
    </xf>
    <xf numFmtId="49" fontId="52" fillId="2" borderId="44" xfId="0" applyNumberFormat="1" applyFont="1" applyFill="1" applyBorder="1" applyAlignment="1">
      <alignment horizontal="center" vertical="center" wrapText="1"/>
    </xf>
    <xf numFmtId="49" fontId="52" fillId="2" borderId="22" xfId="0" applyNumberFormat="1" applyFont="1" applyFill="1" applyBorder="1" applyAlignment="1">
      <alignment horizontal="center" vertical="center" wrapText="1"/>
    </xf>
    <xf numFmtId="49" fontId="52" fillId="2" borderId="37" xfId="0" applyNumberFormat="1" applyFont="1" applyFill="1" applyBorder="1" applyAlignment="1">
      <alignment horizontal="center" vertical="center" wrapText="1"/>
    </xf>
    <xf numFmtId="49" fontId="52" fillId="2" borderId="38" xfId="0" applyNumberFormat="1" applyFont="1" applyFill="1" applyBorder="1" applyAlignment="1">
      <alignment horizontal="center" vertical="center" wrapText="1"/>
    </xf>
    <xf numFmtId="14" fontId="50" fillId="2" borderId="17" xfId="0" applyNumberFormat="1" applyFont="1" applyFill="1" applyBorder="1" applyAlignment="1">
      <alignment horizontal="center" vertical="center"/>
    </xf>
    <xf numFmtId="0" fontId="50" fillId="2" borderId="25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49" fontId="51" fillId="2" borderId="13" xfId="0" applyNumberFormat="1" applyFont="1" applyFill="1" applyBorder="1" applyAlignment="1">
      <alignment horizontal="center" vertical="center" wrapText="1"/>
    </xf>
    <xf numFmtId="49" fontId="51" fillId="2" borderId="15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wrapText="1"/>
    </xf>
    <xf numFmtId="49" fontId="51" fillId="2" borderId="0" xfId="0" applyNumberFormat="1" applyFont="1" applyFill="1" applyAlignment="1">
      <alignment horizontal="center" wrapText="1"/>
    </xf>
    <xf numFmtId="0" fontId="59" fillId="2" borderId="0" xfId="0" applyFont="1" applyFill="1" applyBorder="1" applyAlignment="1">
      <alignment horizontal="center" wrapText="1"/>
    </xf>
    <xf numFmtId="49" fontId="51" fillId="2" borderId="41" xfId="0" applyNumberFormat="1" applyFont="1" applyFill="1" applyBorder="1" applyAlignment="1">
      <alignment horizontal="center" vertical="center" wrapText="1"/>
    </xf>
    <xf numFmtId="49" fontId="51" fillId="2" borderId="42" xfId="0" applyNumberFormat="1" applyFont="1" applyFill="1" applyBorder="1" applyAlignment="1">
      <alignment horizontal="center" vertical="center" wrapText="1"/>
    </xf>
    <xf numFmtId="49" fontId="51" fillId="2" borderId="43" xfId="0" applyNumberFormat="1" applyFont="1" applyFill="1" applyBorder="1" applyAlignment="1">
      <alignment horizontal="center" vertical="center" wrapText="1"/>
    </xf>
    <xf numFmtId="49" fontId="51" fillId="2" borderId="22" xfId="0" applyNumberFormat="1" applyFont="1" applyFill="1" applyBorder="1" applyAlignment="1">
      <alignment horizontal="center" vertical="center" wrapText="1"/>
    </xf>
    <xf numFmtId="49" fontId="51" fillId="2" borderId="37" xfId="0" applyNumberFormat="1" applyFont="1" applyFill="1" applyBorder="1" applyAlignment="1">
      <alignment horizontal="center" vertical="center" wrapText="1"/>
    </xf>
    <xf numFmtId="49" fontId="51" fillId="2" borderId="38" xfId="0" applyNumberFormat="1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wrapText="1"/>
    </xf>
    <xf numFmtId="0" fontId="0" fillId="9" borderId="0" xfId="0" applyFill="1" applyAlignment="1">
      <alignment horizontal="center"/>
    </xf>
    <xf numFmtId="49" fontId="0" fillId="0" borderId="11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11" xfId="0" applyNumberFormat="1" applyBorder="1" applyAlignment="1">
      <alignment vertical="top"/>
    </xf>
    <xf numFmtId="49" fontId="0" fillId="0" borderId="16" xfId="0" applyNumberFormat="1" applyBorder="1" applyAlignment="1">
      <alignment vertical="top"/>
    </xf>
    <xf numFmtId="49" fontId="21" fillId="0" borderId="8" xfId="0" applyNumberFormat="1" applyFont="1" applyBorder="1" applyAlignment="1">
      <alignment horizontal="center" vertical="center"/>
    </xf>
    <xf numFmtId="49" fontId="21" fillId="0" borderId="34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top"/>
    </xf>
    <xf numFmtId="49" fontId="0" fillId="0" borderId="34" xfId="0" applyNumberFormat="1" applyBorder="1" applyAlignment="1">
      <alignment horizontal="center" vertical="top"/>
    </xf>
    <xf numFmtId="49" fontId="0" fillId="0" borderId="8" xfId="0" applyNumberFormat="1" applyBorder="1" applyAlignment="1">
      <alignment vertical="top" wrapText="1"/>
    </xf>
    <xf numFmtId="0" fontId="20" fillId="9" borderId="0" xfId="2" applyFont="1" applyFill="1" applyAlignment="1">
      <alignment horizontal="center" vertical="center" wrapText="1"/>
    </xf>
    <xf numFmtId="0" fontId="20" fillId="9" borderId="1" xfId="2" applyFont="1" applyFill="1" applyBorder="1" applyAlignment="1">
      <alignment horizontal="center" vertical="center" wrapText="1"/>
    </xf>
    <xf numFmtId="0" fontId="21" fillId="0" borderId="31" xfId="3" applyBorder="1">
      <alignment horizontal="center" vertical="center" wrapText="1"/>
    </xf>
    <xf numFmtId="0" fontId="21" fillId="0" borderId="11" xfId="3" applyBorder="1">
      <alignment horizontal="center" vertical="center" wrapText="1"/>
    </xf>
    <xf numFmtId="0" fontId="21" fillId="0" borderId="32" xfId="3" applyBorder="1" applyAlignment="1">
      <alignment horizontal="center" vertical="center" wrapText="1"/>
    </xf>
    <xf numFmtId="0" fontId="21" fillId="0" borderId="8" xfId="3" applyBorder="1" applyAlignment="1">
      <alignment horizontal="center" vertical="center" wrapText="1"/>
    </xf>
    <xf numFmtId="0" fontId="21" fillId="0" borderId="32" xfId="3" applyBorder="1">
      <alignment horizontal="center" vertical="center" wrapText="1"/>
    </xf>
    <xf numFmtId="0" fontId="21" fillId="0" borderId="8" xfId="3" applyBorder="1">
      <alignment horizontal="center" vertical="center" wrapText="1"/>
    </xf>
    <xf numFmtId="49" fontId="16" fillId="0" borderId="11" xfId="0" applyNumberFormat="1" applyFont="1" applyBorder="1" applyAlignment="1">
      <alignment vertical="top"/>
    </xf>
    <xf numFmtId="49" fontId="16" fillId="0" borderId="8" xfId="0" applyNumberFormat="1" applyFont="1" applyBorder="1" applyAlignment="1">
      <alignment vertical="top"/>
    </xf>
    <xf numFmtId="0" fontId="56" fillId="0" borderId="31" xfId="3" applyFont="1" applyBorder="1">
      <alignment horizontal="center" vertical="center" wrapText="1"/>
    </xf>
    <xf numFmtId="0" fontId="56" fillId="0" borderId="11" xfId="3" applyFont="1" applyBorder="1">
      <alignment horizontal="center" vertical="center" wrapText="1"/>
    </xf>
    <xf numFmtId="0" fontId="57" fillId="0" borderId="32" xfId="3" applyFont="1" applyBorder="1">
      <alignment horizontal="center" vertical="center" wrapText="1"/>
    </xf>
    <xf numFmtId="0" fontId="57" fillId="0" borderId="8" xfId="3" applyFont="1" applyBorder="1">
      <alignment horizontal="center" vertical="center" wrapText="1"/>
    </xf>
    <xf numFmtId="0" fontId="23" fillId="2" borderId="0" xfId="7" applyNumberFormat="1" applyFont="1" applyFill="1" applyBorder="1" applyAlignment="1" applyProtection="1">
      <alignment horizontal="center" vertical="center" wrapText="1"/>
    </xf>
    <xf numFmtId="0" fontId="26" fillId="2" borderId="52" xfId="8" applyNumberFormat="1" applyFont="1" applyFill="1" applyBorder="1" applyAlignment="1" applyProtection="1">
      <alignment horizontal="center" vertical="top"/>
    </xf>
    <xf numFmtId="0" fontId="26" fillId="2" borderId="46" xfId="8" applyNumberFormat="1" applyFont="1" applyFill="1" applyBorder="1" applyAlignment="1" applyProtection="1">
      <alignment horizontal="center" vertical="top"/>
    </xf>
    <xf numFmtId="0" fontId="26" fillId="2" borderId="53" xfId="8" applyNumberFormat="1" applyFont="1" applyFill="1" applyBorder="1" applyAlignment="1" applyProtection="1">
      <alignment horizontal="center" vertical="center" wrapText="1"/>
    </xf>
    <xf numFmtId="0" fontId="26" fillId="2" borderId="9" xfId="8" applyNumberFormat="1" applyFont="1" applyFill="1" applyBorder="1" applyAlignment="1" applyProtection="1">
      <alignment horizontal="center" vertical="center" wrapText="1"/>
    </xf>
    <xf numFmtId="0" fontId="26" fillId="2" borderId="54" xfId="8" applyNumberFormat="1" applyFont="1" applyFill="1" applyBorder="1" applyAlignment="1" applyProtection="1">
      <alignment horizontal="center" vertical="center" wrapText="1"/>
    </xf>
    <xf numFmtId="0" fontId="26" fillId="2" borderId="55" xfId="8" applyNumberFormat="1" applyFont="1" applyFill="1" applyBorder="1" applyAlignment="1" applyProtection="1">
      <alignment horizontal="center" vertical="center" wrapText="1"/>
    </xf>
    <xf numFmtId="0" fontId="26" fillId="2" borderId="56" xfId="8" applyNumberFormat="1" applyFont="1" applyFill="1" applyBorder="1" applyAlignment="1" applyProtection="1">
      <alignment horizontal="center" vertical="center" wrapText="1"/>
    </xf>
    <xf numFmtId="49" fontId="68" fillId="0" borderId="13" xfId="12" applyFont="1" applyFill="1" applyBorder="1" applyAlignment="1" applyProtection="1">
      <alignment horizontal="center" vertical="center" wrapText="1"/>
      <protection locked="0"/>
    </xf>
    <xf numFmtId="49" fontId="68" fillId="0" borderId="14" xfId="12" applyFont="1" applyFill="1" applyBorder="1" applyAlignment="1" applyProtection="1">
      <alignment horizontal="center" vertical="center" wrapText="1"/>
      <protection locked="0"/>
    </xf>
    <xf numFmtId="49" fontId="68" fillId="0" borderId="15" xfId="12" applyFont="1" applyFill="1" applyBorder="1" applyAlignment="1" applyProtection="1">
      <alignment horizontal="center" vertical="center" wrapText="1"/>
      <protection locked="0"/>
    </xf>
    <xf numFmtId="49" fontId="68" fillId="0" borderId="17" xfId="12" applyFont="1" applyBorder="1" applyAlignment="1" applyProtection="1">
      <alignment horizontal="left" vertical="top" wrapText="1"/>
    </xf>
    <xf numFmtId="49" fontId="68" fillId="0" borderId="9" xfId="12" applyFont="1" applyBorder="1" applyAlignment="1" applyProtection="1">
      <alignment horizontal="left" vertical="top" wrapText="1"/>
    </xf>
    <xf numFmtId="0" fontId="65" fillId="0" borderId="0" xfId="10" applyFont="1" applyFill="1" applyBorder="1" applyAlignment="1" applyProtection="1">
      <alignment horizontal="center" vertical="center"/>
    </xf>
    <xf numFmtId="0" fontId="68" fillId="0" borderId="17" xfId="13" applyFont="1" applyBorder="1" applyAlignment="1" applyProtection="1">
      <alignment horizontal="center" vertical="center" wrapText="1"/>
    </xf>
    <xf numFmtId="0" fontId="68" fillId="0" borderId="9" xfId="13" applyFont="1" applyBorder="1" applyAlignment="1" applyProtection="1">
      <alignment horizontal="center" vertical="center" wrapText="1"/>
    </xf>
    <xf numFmtId="0" fontId="65" fillId="0" borderId="0" xfId="10" applyFont="1" applyFill="1" applyBorder="1" applyAlignment="1" applyProtection="1">
      <alignment horizontal="center" vertical="center" wrapText="1"/>
    </xf>
    <xf numFmtId="0" fontId="65" fillId="0" borderId="37" xfId="10" applyFont="1" applyFill="1" applyBorder="1" applyAlignment="1" applyProtection="1">
      <alignment horizontal="center" vertical="center"/>
    </xf>
    <xf numFmtId="0" fontId="66" fillId="0" borderId="42" xfId="0" applyFont="1" applyBorder="1" applyAlignment="1" applyProtection="1">
      <alignment horizontal="center"/>
    </xf>
    <xf numFmtId="0" fontId="68" fillId="0" borderId="13" xfId="13" applyFont="1" applyBorder="1" applyAlignment="1" applyProtection="1">
      <alignment horizontal="center" vertical="center" wrapText="1"/>
    </xf>
    <xf numFmtId="0" fontId="68" fillId="0" borderId="14" xfId="13" applyFont="1" applyBorder="1" applyAlignment="1" applyProtection="1">
      <alignment horizontal="center" vertical="center" wrapText="1"/>
    </xf>
    <xf numFmtId="0" fontId="68" fillId="0" borderId="15" xfId="13" applyFont="1" applyBorder="1" applyAlignment="1" applyProtection="1">
      <alignment horizontal="center" vertical="center" wrapText="1"/>
    </xf>
    <xf numFmtId="9" fontId="14" fillId="0" borderId="0" xfId="0" applyNumberFormat="1" applyFont="1" applyBorder="1" applyAlignment="1">
      <alignment horizontal="justify" vertical="top" wrapText="1"/>
    </xf>
    <xf numFmtId="0" fontId="14" fillId="0" borderId="2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27" xfId="0" applyFont="1" applyBorder="1" applyAlignment="1">
      <alignment horizontal="justify" vertical="top" wrapText="1"/>
    </xf>
    <xf numFmtId="0" fontId="14" fillId="0" borderId="7" xfId="0" applyFont="1" applyBorder="1" applyAlignment="1">
      <alignment horizontal="justify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1" fontId="14" fillId="0" borderId="27" xfId="0" applyNumberFormat="1" applyFont="1" applyBorder="1" applyAlignment="1">
      <alignment horizontal="justify" vertical="top" wrapText="1"/>
    </xf>
    <xf numFmtId="1" fontId="14" fillId="0" borderId="7" xfId="0" applyNumberFormat="1" applyFont="1" applyBorder="1" applyAlignment="1">
      <alignment horizontal="justify" vertical="top" wrapText="1"/>
    </xf>
    <xf numFmtId="0" fontId="30" fillId="9" borderId="0" xfId="0" applyFont="1" applyFill="1" applyAlignment="1">
      <alignment horizontal="center"/>
    </xf>
    <xf numFmtId="0" fontId="13" fillId="0" borderId="27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31" fillId="0" borderId="27" xfId="0" applyFont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1" fillId="0" borderId="7" xfId="0" applyFont="1" applyBorder="1" applyAlignment="1">
      <alignment vertical="top" wrapText="1"/>
    </xf>
    <xf numFmtId="49" fontId="18" fillId="2" borderId="37" xfId="0" applyNumberFormat="1" applyFont="1" applyFill="1" applyBorder="1" applyAlignment="1">
      <alignment horizontal="center" wrapText="1"/>
    </xf>
    <xf numFmtId="0" fontId="75" fillId="2" borderId="0" xfId="0" applyFont="1" applyFill="1" applyAlignment="1">
      <alignment horizontal="left" wrapText="1"/>
    </xf>
    <xf numFmtId="0" fontId="78" fillId="2" borderId="0" xfId="9" applyFont="1" applyFill="1" applyAlignment="1">
      <alignment horizontal="center" vertical="center" wrapText="1"/>
    </xf>
    <xf numFmtId="0" fontId="72" fillId="2" borderId="0" xfId="0" applyFont="1" applyFill="1" applyAlignment="1">
      <alignment horizontal="center" vertical="center" wrapText="1"/>
    </xf>
    <xf numFmtId="0" fontId="73" fillId="2" borderId="8" xfId="0" applyFont="1" applyFill="1" applyBorder="1" applyAlignment="1">
      <alignment vertical="center"/>
    </xf>
    <xf numFmtId="0" fontId="73" fillId="2" borderId="8" xfId="0" applyFont="1" applyFill="1" applyBorder="1" applyAlignment="1">
      <alignment wrapText="1"/>
    </xf>
    <xf numFmtId="0" fontId="73" fillId="2" borderId="8" xfId="0" applyFont="1" applyFill="1" applyBorder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top" wrapText="1"/>
    </xf>
    <xf numFmtId="0" fontId="35" fillId="2" borderId="8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top" wrapText="1"/>
    </xf>
    <xf numFmtId="0" fontId="35" fillId="2" borderId="4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60" fillId="2" borderId="37" xfId="0" applyFont="1" applyFill="1" applyBorder="1" applyAlignment="1">
      <alignment horizontal="center"/>
    </xf>
    <xf numFmtId="0" fontId="60" fillId="2" borderId="0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18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0" xfId="9" applyFont="1" applyFill="1" applyAlignment="1">
      <alignment horizontal="center" vertical="center" wrapText="1"/>
    </xf>
    <xf numFmtId="0" fontId="14" fillId="2" borderId="17" xfId="9" applyFont="1" applyFill="1" applyBorder="1" applyAlignment="1">
      <alignment horizontal="center" vertical="center" wrapText="1"/>
    </xf>
    <xf numFmtId="0" fontId="14" fillId="2" borderId="9" xfId="9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49" fontId="18" fillId="2" borderId="37" xfId="0" applyNumberFormat="1" applyFont="1" applyFill="1" applyBorder="1" applyAlignment="1">
      <alignment wrapText="1"/>
    </xf>
    <xf numFmtId="0" fontId="18" fillId="2" borderId="37" xfId="0" applyFont="1" applyFill="1" applyBorder="1" applyAlignment="1">
      <alignment wrapText="1"/>
    </xf>
  </cellXfs>
  <cellStyles count="15">
    <cellStyle name="Заголовок" xfId="2"/>
    <cellStyle name="ЗаголовокСтолбца" xfId="3"/>
    <cellStyle name="Значение" xfId="4"/>
    <cellStyle name="Обычный" xfId="0" builtinId="0"/>
    <cellStyle name="Обычный 10" xfId="12"/>
    <cellStyle name="Обычный_methodics230802-pril1-3" xfId="8"/>
    <cellStyle name="Обычный_Книга1" xfId="7"/>
    <cellStyle name="Обычный_Полезный отпуск электроэнергии и мощности, реализуемой по регулируемым ценам" xfId="11"/>
    <cellStyle name="Обычный_Сведения об отпуске (передаче) электроэнергии потребителям распределительными сетевыми организациями" xfId="13"/>
    <cellStyle name="Обычный_тарифы на 2002г с 1-01" xfId="9"/>
    <cellStyle name="Обычный_Шаблон по источникам для Модуля Реестр (2)" xfId="10"/>
    <cellStyle name="Процентный" xfId="1" builtinId="5"/>
    <cellStyle name="Финансовый" xfId="14" builtinId="3"/>
    <cellStyle name="Формула" xfId="5"/>
    <cellStyle name="ФормулаВБ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nigorova/Desktop/&#1056;&#1072;&#1089;&#1095;&#1077;&#1090;%20&#1087;&#1086;&#1090;&#1077;&#1088;&#1100;/&#1056;&#1072;&#1089;&#1095;&#1077;&#1090;%20&#1087;&#1086;&#1090;&#1077;&#1088;&#1100;%20&#1087;&#1086;%20&#1087;&#1088;&#1080;&#1082;&#1072;&#1079;&#1091;%20887/Raschet_normativnogo_urovnya_poter_prikaz_no_88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-е уровня потерь 887"/>
      <sheetName val="Пример заполнения 887"/>
      <sheetName val="2020год"/>
      <sheetName val="Приказ МЭ от 26.09.2017 №887"/>
      <sheetName val="Справка по НПА"/>
    </sheetNames>
    <sheetDataSet>
      <sheetData sheetId="0"/>
      <sheetData sheetId="1"/>
      <sheetData sheetId="2"/>
      <sheetData sheetId="3">
        <row r="11">
          <cell r="D11">
            <v>5.0199999999999996</v>
          </cell>
        </row>
        <row r="12">
          <cell r="D12">
            <v>4.75</v>
          </cell>
        </row>
        <row r="13">
          <cell r="D13">
            <v>3.33</v>
          </cell>
        </row>
        <row r="14">
          <cell r="D14">
            <v>2.2999999999999998</v>
          </cell>
        </row>
        <row r="16">
          <cell r="D16">
            <v>5.77</v>
          </cell>
        </row>
        <row r="17">
          <cell r="D17">
            <v>4.96</v>
          </cell>
        </row>
        <row r="18">
          <cell r="D18">
            <v>5.45</v>
          </cell>
        </row>
        <row r="19">
          <cell r="D19">
            <v>4.07</v>
          </cell>
        </row>
        <row r="23">
          <cell r="D23">
            <v>8.49</v>
          </cell>
        </row>
        <row r="24">
          <cell r="D24">
            <v>7.36</v>
          </cell>
        </row>
        <row r="25">
          <cell r="D25">
            <v>6.17</v>
          </cell>
        </row>
        <row r="26">
          <cell r="D26">
            <v>6.08</v>
          </cell>
        </row>
        <row r="30">
          <cell r="D30">
            <v>13.49</v>
          </cell>
        </row>
        <row r="31">
          <cell r="D31">
            <v>10.49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0"/>
  <sheetViews>
    <sheetView tabSelected="1" workbookViewId="0">
      <selection activeCell="M10" sqref="M10"/>
    </sheetView>
  </sheetViews>
  <sheetFormatPr defaultRowHeight="14.4" x14ac:dyDescent="0.3"/>
  <cols>
    <col min="1" max="1" width="3.21875" style="9" customWidth="1"/>
    <col min="2" max="3" width="8.88671875" style="9"/>
    <col min="4" max="4" width="3.21875" style="9" customWidth="1"/>
    <col min="5" max="5" width="8.88671875" style="9"/>
    <col min="6" max="6" width="12.21875" style="9" customWidth="1"/>
    <col min="7" max="7" width="8" style="9" customWidth="1"/>
    <col min="8" max="8" width="5.21875" style="9" customWidth="1"/>
    <col min="9" max="9" width="7.88671875" style="9" customWidth="1"/>
    <col min="10" max="10" width="8.109375" style="9" customWidth="1"/>
    <col min="11" max="11" width="10" style="9" customWidth="1"/>
    <col min="12" max="12" width="40.33203125" style="9" customWidth="1"/>
    <col min="13" max="16384" width="8.88671875" style="9"/>
  </cols>
  <sheetData>
    <row r="1" spans="1:12" x14ac:dyDescent="0.3">
      <c r="G1" s="10" t="s">
        <v>64</v>
      </c>
      <c r="H1" s="11"/>
      <c r="I1" s="11"/>
      <c r="J1" s="111"/>
    </row>
    <row r="2" spans="1:12" x14ac:dyDescent="0.3">
      <c r="G2" s="11" t="s">
        <v>923</v>
      </c>
      <c r="H2" s="11"/>
      <c r="I2" s="11"/>
      <c r="J2" s="111"/>
    </row>
    <row r="3" spans="1:12" x14ac:dyDescent="0.3">
      <c r="G3" s="11" t="s">
        <v>65</v>
      </c>
      <c r="H3" s="11"/>
      <c r="I3" s="11"/>
      <c r="J3" s="111"/>
    </row>
    <row r="4" spans="1:12" x14ac:dyDescent="0.3">
      <c r="G4" s="11" t="s">
        <v>538</v>
      </c>
      <c r="H4" s="11"/>
      <c r="I4" s="11"/>
      <c r="J4" s="111"/>
    </row>
    <row r="5" spans="1:12" x14ac:dyDescent="0.3">
      <c r="G5" s="11"/>
      <c r="H5" s="11"/>
      <c r="I5" s="11"/>
      <c r="J5" s="111"/>
    </row>
    <row r="6" spans="1:12" x14ac:dyDescent="0.3">
      <c r="G6" s="11"/>
      <c r="H6" s="11"/>
      <c r="I6" s="11"/>
      <c r="J6" s="111"/>
    </row>
    <row r="7" spans="1:12" ht="15" thickBot="1" x14ac:dyDescent="0.35">
      <c r="A7" s="1"/>
      <c r="B7" s="556" t="s">
        <v>905</v>
      </c>
      <c r="C7" s="556"/>
      <c r="D7" s="556"/>
      <c r="E7" s="556"/>
      <c r="F7" s="556"/>
      <c r="G7" s="556"/>
      <c r="H7" s="556"/>
      <c r="I7" s="556"/>
      <c r="J7" s="556"/>
      <c r="K7" s="556"/>
    </row>
    <row r="8" spans="1:12" ht="34.200000000000003" customHeight="1" x14ac:dyDescent="0.3">
      <c r="A8" s="109" t="s">
        <v>0</v>
      </c>
      <c r="B8" s="557" t="s">
        <v>1</v>
      </c>
      <c r="C8" s="558"/>
      <c r="D8" s="558"/>
      <c r="E8" s="558"/>
      <c r="F8" s="559"/>
      <c r="G8" s="557" t="s">
        <v>2</v>
      </c>
      <c r="H8" s="558"/>
      <c r="I8" s="466" t="s">
        <v>3</v>
      </c>
      <c r="J8" s="466" t="s">
        <v>4</v>
      </c>
      <c r="K8" s="467" t="s">
        <v>5</v>
      </c>
    </row>
    <row r="9" spans="1:12" x14ac:dyDescent="0.3">
      <c r="A9" s="468"/>
      <c r="B9" s="560" t="s">
        <v>876</v>
      </c>
      <c r="C9" s="561"/>
      <c r="D9" s="561"/>
      <c r="E9" s="561"/>
      <c r="F9" s="562"/>
      <c r="G9" s="563"/>
      <c r="H9" s="564"/>
      <c r="I9" s="468"/>
      <c r="J9" s="491"/>
      <c r="K9" s="154" t="s">
        <v>6</v>
      </c>
    </row>
    <row r="10" spans="1:12" x14ac:dyDescent="0.3">
      <c r="A10" s="492">
        <v>1</v>
      </c>
      <c r="B10" s="452" t="s">
        <v>29</v>
      </c>
      <c r="C10" s="489"/>
      <c r="D10" s="489"/>
      <c r="E10" s="489"/>
      <c r="F10" s="490"/>
      <c r="G10" s="518">
        <v>1</v>
      </c>
      <c r="H10" s="519"/>
      <c r="I10" s="453">
        <v>6.5</v>
      </c>
      <c r="J10" s="454">
        <v>16</v>
      </c>
      <c r="K10" s="110">
        <v>16</v>
      </c>
    </row>
    <row r="11" spans="1:12" x14ac:dyDescent="0.3">
      <c r="A11" s="469">
        <v>2</v>
      </c>
      <c r="B11" s="555" t="s">
        <v>7</v>
      </c>
      <c r="C11" s="555"/>
      <c r="D11" s="555"/>
      <c r="E11" s="555"/>
      <c r="F11" s="555"/>
      <c r="G11" s="546">
        <v>1</v>
      </c>
      <c r="H11" s="546"/>
      <c r="I11" s="453">
        <v>5.47</v>
      </c>
      <c r="J11" s="453">
        <v>15</v>
      </c>
      <c r="K11" s="154">
        <f t="shared" ref="K11:K31" si="0">J11*G11</f>
        <v>15</v>
      </c>
      <c r="L11" s="1"/>
    </row>
    <row r="12" spans="1:12" x14ac:dyDescent="0.3">
      <c r="A12" s="469">
        <v>3</v>
      </c>
      <c r="B12" s="555" t="s">
        <v>9</v>
      </c>
      <c r="C12" s="555"/>
      <c r="D12" s="555"/>
      <c r="E12" s="555"/>
      <c r="F12" s="555"/>
      <c r="G12" s="546">
        <v>1</v>
      </c>
      <c r="H12" s="546"/>
      <c r="I12" s="453">
        <v>2.35</v>
      </c>
      <c r="J12" s="453">
        <v>8</v>
      </c>
      <c r="K12" s="154">
        <f t="shared" si="0"/>
        <v>8</v>
      </c>
      <c r="L12" s="1"/>
    </row>
    <row r="13" spans="1:12" x14ac:dyDescent="0.3">
      <c r="A13" s="469">
        <v>4</v>
      </c>
      <c r="B13" s="555" t="s">
        <v>67</v>
      </c>
      <c r="C13" s="555"/>
      <c r="D13" s="555"/>
      <c r="E13" s="555"/>
      <c r="F13" s="555"/>
      <c r="G13" s="546">
        <v>1</v>
      </c>
      <c r="H13" s="546"/>
      <c r="I13" s="453">
        <v>2.08</v>
      </c>
      <c r="J13" s="453">
        <v>7</v>
      </c>
      <c r="K13" s="154">
        <f t="shared" si="0"/>
        <v>7</v>
      </c>
      <c r="L13" s="1"/>
    </row>
    <row r="14" spans="1:12" x14ac:dyDescent="0.3">
      <c r="A14" s="469">
        <v>5</v>
      </c>
      <c r="B14" s="536" t="s">
        <v>727</v>
      </c>
      <c r="C14" s="536"/>
      <c r="D14" s="536"/>
      <c r="E14" s="536"/>
      <c r="F14" s="536"/>
      <c r="G14" s="546">
        <v>1</v>
      </c>
      <c r="H14" s="546"/>
      <c r="I14" s="453">
        <v>2.33</v>
      </c>
      <c r="J14" s="453">
        <v>7</v>
      </c>
      <c r="K14" s="154">
        <f t="shared" si="0"/>
        <v>7</v>
      </c>
      <c r="L14" s="1"/>
    </row>
    <row r="15" spans="1:12" x14ac:dyDescent="0.3">
      <c r="A15" s="469">
        <v>6</v>
      </c>
      <c r="B15" s="536" t="s">
        <v>704</v>
      </c>
      <c r="C15" s="536"/>
      <c r="D15" s="536"/>
      <c r="E15" s="536"/>
      <c r="F15" s="536"/>
      <c r="G15" s="546">
        <v>1</v>
      </c>
      <c r="H15" s="546"/>
      <c r="I15" s="453">
        <v>1.28</v>
      </c>
      <c r="J15" s="453">
        <v>3</v>
      </c>
      <c r="K15" s="154">
        <f t="shared" si="0"/>
        <v>3</v>
      </c>
      <c r="L15" s="1"/>
    </row>
    <row r="16" spans="1:12" x14ac:dyDescent="0.3">
      <c r="A16" s="469">
        <v>7</v>
      </c>
      <c r="B16" s="555" t="s">
        <v>70</v>
      </c>
      <c r="C16" s="555"/>
      <c r="D16" s="555"/>
      <c r="E16" s="555"/>
      <c r="F16" s="555"/>
      <c r="G16" s="546">
        <v>1</v>
      </c>
      <c r="H16" s="546"/>
      <c r="I16" s="453">
        <v>1.46</v>
      </c>
      <c r="J16" s="453">
        <v>4</v>
      </c>
      <c r="K16" s="154">
        <f t="shared" si="0"/>
        <v>4</v>
      </c>
      <c r="L16" s="470"/>
    </row>
    <row r="17" spans="1:12" x14ac:dyDescent="0.3">
      <c r="A17" s="469">
        <v>8</v>
      </c>
      <c r="B17" s="536" t="s">
        <v>71</v>
      </c>
      <c r="C17" s="536"/>
      <c r="D17" s="536"/>
      <c r="E17" s="536"/>
      <c r="F17" s="536"/>
      <c r="G17" s="546">
        <v>1</v>
      </c>
      <c r="H17" s="546"/>
      <c r="I17" s="453">
        <v>1.28</v>
      </c>
      <c r="J17" s="453">
        <v>3</v>
      </c>
      <c r="K17" s="154">
        <f t="shared" si="0"/>
        <v>3</v>
      </c>
      <c r="L17" s="470"/>
    </row>
    <row r="18" spans="1:12" x14ac:dyDescent="0.3">
      <c r="A18" s="469">
        <v>9</v>
      </c>
      <c r="B18" s="555" t="s">
        <v>875</v>
      </c>
      <c r="C18" s="555"/>
      <c r="D18" s="555"/>
      <c r="E18" s="555"/>
      <c r="F18" s="555"/>
      <c r="G18" s="546">
        <v>2</v>
      </c>
      <c r="H18" s="546"/>
      <c r="I18" s="472">
        <v>2.4700000000000002</v>
      </c>
      <c r="J18" s="453">
        <v>8</v>
      </c>
      <c r="K18" s="154">
        <f t="shared" si="0"/>
        <v>16</v>
      </c>
      <c r="L18" s="1"/>
    </row>
    <row r="19" spans="1:12" x14ac:dyDescent="0.3">
      <c r="A19" s="469">
        <v>10</v>
      </c>
      <c r="B19" s="555" t="s">
        <v>11</v>
      </c>
      <c r="C19" s="555"/>
      <c r="D19" s="555"/>
      <c r="E19" s="555"/>
      <c r="F19" s="555"/>
      <c r="G19" s="546">
        <v>1</v>
      </c>
      <c r="H19" s="546"/>
      <c r="I19" s="453">
        <v>2.6</v>
      </c>
      <c r="J19" s="453">
        <v>8</v>
      </c>
      <c r="K19" s="154">
        <f t="shared" si="0"/>
        <v>8</v>
      </c>
      <c r="L19" s="1"/>
    </row>
    <row r="20" spans="1:12" x14ac:dyDescent="0.3">
      <c r="A20" s="469">
        <v>11</v>
      </c>
      <c r="B20" s="555" t="s">
        <v>877</v>
      </c>
      <c r="C20" s="555"/>
      <c r="D20" s="555"/>
      <c r="E20" s="555"/>
      <c r="F20" s="555"/>
      <c r="G20" s="546">
        <v>1</v>
      </c>
      <c r="H20" s="546"/>
      <c r="I20" s="471">
        <v>2.35</v>
      </c>
      <c r="J20" s="453">
        <v>8</v>
      </c>
      <c r="K20" s="154">
        <f t="shared" si="0"/>
        <v>8</v>
      </c>
      <c r="L20" s="1"/>
    </row>
    <row r="21" spans="1:12" x14ac:dyDescent="0.3">
      <c r="A21" s="469"/>
      <c r="B21" s="530" t="s">
        <v>878</v>
      </c>
      <c r="C21" s="531"/>
      <c r="D21" s="531"/>
      <c r="E21" s="531"/>
      <c r="F21" s="532"/>
      <c r="G21" s="533">
        <f>SUM(G10:G20)</f>
        <v>12</v>
      </c>
      <c r="H21" s="533"/>
      <c r="I21" s="472"/>
      <c r="J21" s="454"/>
      <c r="K21" s="154"/>
      <c r="L21" s="1"/>
    </row>
    <row r="22" spans="1:12" x14ac:dyDescent="0.3">
      <c r="A22" s="469"/>
      <c r="B22" s="552" t="s">
        <v>879</v>
      </c>
      <c r="C22" s="552"/>
      <c r="D22" s="552"/>
      <c r="E22" s="552"/>
      <c r="F22" s="552"/>
      <c r="G22" s="546"/>
      <c r="H22" s="546"/>
      <c r="I22" s="472"/>
      <c r="J22" s="454"/>
      <c r="K22" s="154"/>
      <c r="L22" s="1"/>
    </row>
    <row r="23" spans="1:12" x14ac:dyDescent="0.3">
      <c r="A23" s="469">
        <v>12.13</v>
      </c>
      <c r="B23" s="555" t="s">
        <v>8</v>
      </c>
      <c r="C23" s="555"/>
      <c r="D23" s="555"/>
      <c r="E23" s="555"/>
      <c r="F23" s="555"/>
      <c r="G23" s="546">
        <v>1</v>
      </c>
      <c r="H23" s="546"/>
      <c r="I23" s="453">
        <v>5.18</v>
      </c>
      <c r="J23" s="453">
        <v>14</v>
      </c>
      <c r="K23" s="154">
        <f t="shared" si="0"/>
        <v>14</v>
      </c>
      <c r="L23" s="1"/>
    </row>
    <row r="24" spans="1:12" x14ac:dyDescent="0.3">
      <c r="A24" s="469">
        <v>13</v>
      </c>
      <c r="B24" s="555" t="s">
        <v>10</v>
      </c>
      <c r="C24" s="555"/>
      <c r="D24" s="555"/>
      <c r="E24" s="555"/>
      <c r="F24" s="555"/>
      <c r="G24" s="546">
        <v>1</v>
      </c>
      <c r="H24" s="546"/>
      <c r="I24" s="453">
        <v>2.66</v>
      </c>
      <c r="J24" s="453">
        <v>9</v>
      </c>
      <c r="K24" s="154">
        <f>J24*G24</f>
        <v>9</v>
      </c>
      <c r="L24" s="1"/>
    </row>
    <row r="25" spans="1:12" x14ac:dyDescent="0.3">
      <c r="A25" s="469">
        <v>14</v>
      </c>
      <c r="B25" s="554" t="s">
        <v>66</v>
      </c>
      <c r="C25" s="554"/>
      <c r="D25" s="554"/>
      <c r="E25" s="554"/>
      <c r="F25" s="554"/>
      <c r="G25" s="546">
        <v>1</v>
      </c>
      <c r="H25" s="546"/>
      <c r="I25" s="453">
        <v>2.66</v>
      </c>
      <c r="J25" s="453">
        <v>9</v>
      </c>
      <c r="K25" s="154">
        <f>J25*G25</f>
        <v>9</v>
      </c>
      <c r="L25" s="1"/>
    </row>
    <row r="26" spans="1:12" x14ac:dyDescent="0.3">
      <c r="A26" s="469">
        <v>15</v>
      </c>
      <c r="B26" s="526" t="s">
        <v>20</v>
      </c>
      <c r="C26" s="527"/>
      <c r="D26" s="527"/>
      <c r="E26" s="527"/>
      <c r="F26" s="528"/>
      <c r="G26" s="537">
        <v>1</v>
      </c>
      <c r="H26" s="537"/>
      <c r="I26" s="472">
        <v>1.1299999999999999</v>
      </c>
      <c r="J26" s="453">
        <v>2</v>
      </c>
      <c r="K26" s="154">
        <f>J26*G26</f>
        <v>2</v>
      </c>
      <c r="L26" s="1"/>
    </row>
    <row r="27" spans="1:12" x14ac:dyDescent="0.3">
      <c r="A27" s="469"/>
      <c r="B27" s="530" t="s">
        <v>878</v>
      </c>
      <c r="C27" s="531"/>
      <c r="D27" s="531"/>
      <c r="E27" s="531"/>
      <c r="F27" s="532"/>
      <c r="G27" s="533">
        <f>SUM(G23:G26)</f>
        <v>4</v>
      </c>
      <c r="H27" s="533"/>
      <c r="I27" s="472"/>
      <c r="J27" s="454"/>
      <c r="K27" s="154"/>
      <c r="L27" s="1"/>
    </row>
    <row r="28" spans="1:12" x14ac:dyDescent="0.3">
      <c r="A28" s="469"/>
      <c r="B28" s="552" t="s">
        <v>880</v>
      </c>
      <c r="C28" s="552"/>
      <c r="D28" s="552"/>
      <c r="E28" s="552"/>
      <c r="F28" s="552"/>
      <c r="G28" s="546"/>
      <c r="H28" s="546"/>
      <c r="I28" s="472"/>
      <c r="J28" s="453"/>
      <c r="K28" s="154"/>
      <c r="L28" s="1"/>
    </row>
    <row r="29" spans="1:12" x14ac:dyDescent="0.3">
      <c r="A29" s="469">
        <v>16</v>
      </c>
      <c r="B29" s="543" t="s">
        <v>881</v>
      </c>
      <c r="C29" s="544"/>
      <c r="D29" s="544"/>
      <c r="E29" s="544"/>
      <c r="F29" s="545"/>
      <c r="G29" s="546">
        <v>1</v>
      </c>
      <c r="H29" s="546"/>
      <c r="I29" s="453">
        <v>4.37</v>
      </c>
      <c r="J29" s="453">
        <v>13</v>
      </c>
      <c r="K29" s="154">
        <f t="shared" ref="K29:K30" si="1">J29*G29</f>
        <v>13</v>
      </c>
      <c r="L29" s="1"/>
    </row>
    <row r="30" spans="1:12" ht="22.2" customHeight="1" x14ac:dyDescent="0.3">
      <c r="A30" s="469">
        <v>17</v>
      </c>
      <c r="B30" s="550" t="s">
        <v>68</v>
      </c>
      <c r="C30" s="550"/>
      <c r="D30" s="550"/>
      <c r="E30" s="550"/>
      <c r="F30" s="550"/>
      <c r="G30" s="546">
        <v>2</v>
      </c>
      <c r="H30" s="546"/>
      <c r="I30" s="453">
        <v>3.9</v>
      </c>
      <c r="J30" s="453">
        <v>12</v>
      </c>
      <c r="K30" s="154">
        <f t="shared" si="1"/>
        <v>24</v>
      </c>
      <c r="L30" s="1"/>
    </row>
    <row r="31" spans="1:12" x14ac:dyDescent="0.3">
      <c r="A31" s="469">
        <v>18</v>
      </c>
      <c r="B31" s="550" t="s">
        <v>732</v>
      </c>
      <c r="C31" s="550"/>
      <c r="D31" s="550"/>
      <c r="E31" s="550"/>
      <c r="F31" s="550"/>
      <c r="G31" s="546">
        <v>3</v>
      </c>
      <c r="H31" s="546"/>
      <c r="I31" s="472">
        <v>1.44</v>
      </c>
      <c r="J31" s="453">
        <v>4</v>
      </c>
      <c r="K31" s="154">
        <f t="shared" si="0"/>
        <v>12</v>
      </c>
      <c r="L31" s="1"/>
    </row>
    <row r="32" spans="1:12" x14ac:dyDescent="0.3">
      <c r="A32" s="469"/>
      <c r="B32" s="530" t="s">
        <v>878</v>
      </c>
      <c r="C32" s="531"/>
      <c r="D32" s="531"/>
      <c r="E32" s="531"/>
      <c r="F32" s="532"/>
      <c r="G32" s="533">
        <f>SUM(G29:G31)</f>
        <v>6</v>
      </c>
      <c r="H32" s="533"/>
      <c r="I32" s="472"/>
      <c r="J32" s="454"/>
      <c r="K32" s="154"/>
      <c r="L32" s="1"/>
    </row>
    <row r="33" spans="1:12" x14ac:dyDescent="0.3">
      <c r="A33" s="469"/>
      <c r="B33" s="552" t="s">
        <v>882</v>
      </c>
      <c r="C33" s="552"/>
      <c r="D33" s="552"/>
      <c r="E33" s="552"/>
      <c r="F33" s="552"/>
      <c r="G33" s="546"/>
      <c r="H33" s="546"/>
      <c r="I33" s="472"/>
      <c r="J33" s="453"/>
      <c r="K33" s="154"/>
      <c r="L33" s="85"/>
    </row>
    <row r="34" spans="1:12" x14ac:dyDescent="0.3">
      <c r="A34" s="469">
        <v>19.2</v>
      </c>
      <c r="B34" s="543" t="s">
        <v>881</v>
      </c>
      <c r="C34" s="544"/>
      <c r="D34" s="544"/>
      <c r="E34" s="544"/>
      <c r="F34" s="545"/>
      <c r="G34" s="546">
        <v>1</v>
      </c>
      <c r="H34" s="546"/>
      <c r="I34" s="453">
        <v>4.37</v>
      </c>
      <c r="J34" s="453">
        <v>13</v>
      </c>
      <c r="K34" s="154">
        <f t="shared" ref="K34" si="2">J34*G34</f>
        <v>13</v>
      </c>
      <c r="L34" s="1"/>
    </row>
    <row r="35" spans="1:12" x14ac:dyDescent="0.3">
      <c r="A35" s="469">
        <v>20</v>
      </c>
      <c r="B35" s="550" t="s">
        <v>69</v>
      </c>
      <c r="C35" s="550"/>
      <c r="D35" s="550"/>
      <c r="E35" s="550"/>
      <c r="F35" s="550"/>
      <c r="G35" s="537">
        <v>1</v>
      </c>
      <c r="H35" s="537"/>
      <c r="I35" s="472">
        <v>2.2000000000000002</v>
      </c>
      <c r="J35" s="453">
        <v>7</v>
      </c>
      <c r="K35" s="473">
        <f>J35*G35</f>
        <v>7</v>
      </c>
      <c r="L35" s="1"/>
    </row>
    <row r="36" spans="1:12" x14ac:dyDescent="0.3">
      <c r="A36" s="469">
        <v>21</v>
      </c>
      <c r="B36" s="543" t="s">
        <v>883</v>
      </c>
      <c r="C36" s="544"/>
      <c r="D36" s="544"/>
      <c r="E36" s="544"/>
      <c r="F36" s="545"/>
      <c r="G36" s="546">
        <v>2</v>
      </c>
      <c r="H36" s="546"/>
      <c r="I36" s="472">
        <v>2.08</v>
      </c>
      <c r="J36" s="453">
        <v>7</v>
      </c>
      <c r="K36" s="473">
        <f>J36*G36</f>
        <v>14</v>
      </c>
      <c r="L36" s="155"/>
    </row>
    <row r="37" spans="1:12" x14ac:dyDescent="0.3">
      <c r="A37" s="469">
        <v>22</v>
      </c>
      <c r="B37" s="526" t="s">
        <v>884</v>
      </c>
      <c r="C37" s="527"/>
      <c r="D37" s="527"/>
      <c r="E37" s="527"/>
      <c r="F37" s="528"/>
      <c r="G37" s="529">
        <v>4</v>
      </c>
      <c r="H37" s="529"/>
      <c r="I37" s="472">
        <v>1.07</v>
      </c>
      <c r="J37" s="454">
        <v>1</v>
      </c>
      <c r="K37" s="154">
        <f>G37*J37</f>
        <v>4</v>
      </c>
      <c r="L37" s="1"/>
    </row>
    <row r="38" spans="1:12" x14ac:dyDescent="0.3">
      <c r="A38" s="469">
        <v>23</v>
      </c>
      <c r="B38" s="536" t="s">
        <v>14</v>
      </c>
      <c r="C38" s="536"/>
      <c r="D38" s="536"/>
      <c r="E38" s="536"/>
      <c r="F38" s="536"/>
      <c r="G38" s="529">
        <v>3</v>
      </c>
      <c r="H38" s="529"/>
      <c r="I38" s="472">
        <v>1.44</v>
      </c>
      <c r="J38" s="453">
        <v>4</v>
      </c>
      <c r="K38" s="154">
        <f t="shared" ref="K38" si="3">J38*G38</f>
        <v>12</v>
      </c>
      <c r="L38" s="1"/>
    </row>
    <row r="39" spans="1:12" x14ac:dyDescent="0.3">
      <c r="A39" s="469"/>
      <c r="B39" s="530" t="s">
        <v>878</v>
      </c>
      <c r="C39" s="531"/>
      <c r="D39" s="531"/>
      <c r="E39" s="531"/>
      <c r="F39" s="532"/>
      <c r="G39" s="533">
        <f>SUM(G34:G38)</f>
        <v>11</v>
      </c>
      <c r="H39" s="533"/>
      <c r="I39" s="472"/>
      <c r="J39" s="454"/>
      <c r="K39" s="154"/>
      <c r="L39" s="1"/>
    </row>
    <row r="40" spans="1:12" x14ac:dyDescent="0.3">
      <c r="A40" s="469"/>
      <c r="B40" s="552" t="s">
        <v>885</v>
      </c>
      <c r="C40" s="552"/>
      <c r="D40" s="552"/>
      <c r="E40" s="552"/>
      <c r="F40" s="552"/>
      <c r="G40" s="546"/>
      <c r="H40" s="546"/>
      <c r="I40" s="472"/>
      <c r="J40" s="453"/>
      <c r="K40" s="154"/>
      <c r="L40" s="85"/>
    </row>
    <row r="41" spans="1:12" x14ac:dyDescent="0.3">
      <c r="A41" s="469">
        <v>24</v>
      </c>
      <c r="B41" s="536" t="s">
        <v>881</v>
      </c>
      <c r="C41" s="536"/>
      <c r="D41" s="536"/>
      <c r="E41" s="536"/>
      <c r="F41" s="536"/>
      <c r="G41" s="546">
        <v>1</v>
      </c>
      <c r="H41" s="546"/>
      <c r="I41" s="453">
        <v>4.37</v>
      </c>
      <c r="J41" s="453">
        <v>13</v>
      </c>
      <c r="K41" s="154">
        <f t="shared" ref="K41" si="4">J41*G41</f>
        <v>13</v>
      </c>
      <c r="L41" s="1"/>
    </row>
    <row r="42" spans="1:12" x14ac:dyDescent="0.3">
      <c r="A42" s="469">
        <v>25</v>
      </c>
      <c r="B42" s="526" t="s">
        <v>886</v>
      </c>
      <c r="C42" s="527"/>
      <c r="D42" s="527"/>
      <c r="E42" s="527"/>
      <c r="F42" s="528"/>
      <c r="G42" s="537">
        <v>1</v>
      </c>
      <c r="H42" s="537"/>
      <c r="I42" s="472">
        <v>2.35</v>
      </c>
      <c r="J42" s="453">
        <v>8</v>
      </c>
      <c r="K42" s="473">
        <v>7</v>
      </c>
      <c r="L42" s="1"/>
    </row>
    <row r="43" spans="1:12" x14ac:dyDescent="0.3">
      <c r="A43" s="469">
        <v>26</v>
      </c>
      <c r="B43" s="526" t="s">
        <v>887</v>
      </c>
      <c r="C43" s="527"/>
      <c r="D43" s="527"/>
      <c r="E43" s="527"/>
      <c r="F43" s="528"/>
      <c r="G43" s="529">
        <v>1</v>
      </c>
      <c r="H43" s="529"/>
      <c r="I43" s="472">
        <v>1.07</v>
      </c>
      <c r="J43" s="454">
        <v>1</v>
      </c>
      <c r="K43" s="154">
        <f>G43*J43</f>
        <v>1</v>
      </c>
      <c r="L43" s="85"/>
    </row>
    <row r="44" spans="1:12" x14ac:dyDescent="0.3">
      <c r="A44" s="469"/>
      <c r="B44" s="553" t="s">
        <v>878</v>
      </c>
      <c r="C44" s="553"/>
      <c r="D44" s="553"/>
      <c r="E44" s="553"/>
      <c r="F44" s="553"/>
      <c r="G44" s="533">
        <f>SUM(G41:G43)</f>
        <v>3</v>
      </c>
      <c r="H44" s="533"/>
      <c r="I44" s="472"/>
      <c r="J44" s="453"/>
      <c r="K44" s="154"/>
      <c r="L44" s="85"/>
    </row>
    <row r="45" spans="1:12" s="85" customFormat="1" x14ac:dyDescent="0.3">
      <c r="A45" s="474"/>
      <c r="B45" s="475"/>
      <c r="C45" s="475"/>
      <c r="D45" s="475"/>
      <c r="E45" s="475"/>
      <c r="F45" s="475"/>
      <c r="G45" s="476"/>
      <c r="H45" s="476"/>
      <c r="I45" s="477"/>
      <c r="J45" s="478"/>
      <c r="K45" s="155"/>
    </row>
    <row r="46" spans="1:12" s="85" customFormat="1" x14ac:dyDescent="0.3">
      <c r="A46" s="474"/>
      <c r="B46" s="475"/>
      <c r="C46" s="475"/>
      <c r="D46" s="475"/>
      <c r="E46" s="475"/>
      <c r="F46" s="475"/>
      <c r="G46" s="476"/>
      <c r="H46" s="476"/>
      <c r="I46" s="477"/>
      <c r="J46" s="478"/>
      <c r="K46" s="155"/>
    </row>
    <row r="47" spans="1:12" s="85" customFormat="1" x14ac:dyDescent="0.3">
      <c r="A47" s="474"/>
      <c r="B47" s="475"/>
      <c r="C47" s="475"/>
      <c r="D47" s="475"/>
      <c r="E47" s="475"/>
      <c r="F47" s="475"/>
      <c r="G47" s="476"/>
      <c r="H47" s="476"/>
      <c r="I47" s="477"/>
      <c r="J47" s="478"/>
      <c r="K47" s="155"/>
    </row>
    <row r="48" spans="1:12" s="85" customFormat="1" x14ac:dyDescent="0.3">
      <c r="A48" s="474"/>
      <c r="B48" s="475"/>
      <c r="C48" s="475"/>
      <c r="D48" s="475"/>
      <c r="E48" s="475"/>
      <c r="F48" s="475"/>
      <c r="G48" s="476"/>
      <c r="H48" s="476"/>
      <c r="I48" s="477"/>
      <c r="J48" s="478"/>
      <c r="K48" s="155"/>
    </row>
    <row r="49" spans="1:12" x14ac:dyDescent="0.3">
      <c r="A49" s="469"/>
      <c r="B49" s="552" t="s">
        <v>888</v>
      </c>
      <c r="C49" s="552"/>
      <c r="D49" s="552"/>
      <c r="E49" s="552"/>
      <c r="F49" s="552"/>
      <c r="G49" s="546"/>
      <c r="H49" s="546"/>
      <c r="I49" s="472"/>
      <c r="J49" s="453"/>
      <c r="K49" s="154"/>
      <c r="L49" s="85"/>
    </row>
    <row r="50" spans="1:12" x14ac:dyDescent="0.3">
      <c r="A50" s="469">
        <v>27</v>
      </c>
      <c r="B50" s="536" t="s">
        <v>889</v>
      </c>
      <c r="C50" s="536"/>
      <c r="D50" s="536"/>
      <c r="E50" s="536"/>
      <c r="F50" s="536"/>
      <c r="G50" s="537">
        <v>1</v>
      </c>
      <c r="H50" s="537"/>
      <c r="I50" s="472">
        <v>2.35</v>
      </c>
      <c r="J50" s="453">
        <v>8</v>
      </c>
      <c r="K50" s="473">
        <f>J50*G50</f>
        <v>8</v>
      </c>
      <c r="L50" s="1"/>
    </row>
    <row r="51" spans="1:12" x14ac:dyDescent="0.3">
      <c r="A51" s="469">
        <v>28</v>
      </c>
      <c r="B51" s="536" t="s">
        <v>63</v>
      </c>
      <c r="C51" s="536"/>
      <c r="D51" s="536"/>
      <c r="E51" s="536"/>
      <c r="F51" s="536"/>
      <c r="G51" s="537">
        <v>4</v>
      </c>
      <c r="H51" s="537"/>
      <c r="I51" s="472">
        <v>1.73</v>
      </c>
      <c r="J51" s="453">
        <v>5</v>
      </c>
      <c r="K51" s="473">
        <f>J51*G51</f>
        <v>20</v>
      </c>
      <c r="L51" s="1"/>
    </row>
    <row r="52" spans="1:12" ht="22.2" customHeight="1" x14ac:dyDescent="0.3">
      <c r="A52" s="469">
        <v>29</v>
      </c>
      <c r="B52" s="551" t="s">
        <v>731</v>
      </c>
      <c r="C52" s="551"/>
      <c r="D52" s="551"/>
      <c r="E52" s="551"/>
      <c r="F52" s="551"/>
      <c r="G52" s="529">
        <v>4</v>
      </c>
      <c r="H52" s="529"/>
      <c r="I52" s="472">
        <v>1.63</v>
      </c>
      <c r="J52" s="453">
        <v>5</v>
      </c>
      <c r="K52" s="154">
        <f t="shared" ref="K52:K53" si="5">G52*J52</f>
        <v>20</v>
      </c>
      <c r="L52" s="1"/>
    </row>
    <row r="53" spans="1:12" x14ac:dyDescent="0.3">
      <c r="A53" s="469">
        <v>30</v>
      </c>
      <c r="B53" s="550" t="s">
        <v>890</v>
      </c>
      <c r="C53" s="550"/>
      <c r="D53" s="550"/>
      <c r="E53" s="550"/>
      <c r="F53" s="550"/>
      <c r="G53" s="537">
        <v>4</v>
      </c>
      <c r="H53" s="537"/>
      <c r="I53" s="472">
        <v>1.63</v>
      </c>
      <c r="J53" s="453">
        <v>5</v>
      </c>
      <c r="K53" s="154">
        <f t="shared" si="5"/>
        <v>20</v>
      </c>
      <c r="L53" s="1"/>
    </row>
    <row r="54" spans="1:12" x14ac:dyDescent="0.3">
      <c r="A54" s="469"/>
      <c r="B54" s="530" t="s">
        <v>878</v>
      </c>
      <c r="C54" s="531"/>
      <c r="D54" s="531"/>
      <c r="E54" s="531"/>
      <c r="F54" s="532"/>
      <c r="G54" s="533">
        <f>SUM(G50:G53)</f>
        <v>13</v>
      </c>
      <c r="H54" s="533"/>
      <c r="I54" s="472"/>
      <c r="J54" s="454"/>
      <c r="K54" s="154"/>
      <c r="L54" s="1"/>
    </row>
    <row r="55" spans="1:12" x14ac:dyDescent="0.3">
      <c r="A55" s="469"/>
      <c r="B55" s="549" t="s">
        <v>891</v>
      </c>
      <c r="C55" s="549"/>
      <c r="D55" s="549"/>
      <c r="E55" s="549"/>
      <c r="F55" s="549"/>
      <c r="G55" s="537"/>
      <c r="H55" s="537"/>
      <c r="I55" s="472"/>
      <c r="J55" s="453"/>
      <c r="K55" s="473"/>
      <c r="L55" s="1"/>
    </row>
    <row r="56" spans="1:12" x14ac:dyDescent="0.3">
      <c r="A56" s="469">
        <v>31</v>
      </c>
      <c r="B56" s="536" t="s">
        <v>13</v>
      </c>
      <c r="C56" s="536"/>
      <c r="D56" s="536"/>
      <c r="E56" s="536"/>
      <c r="F56" s="536"/>
      <c r="G56" s="529">
        <v>1</v>
      </c>
      <c r="H56" s="529"/>
      <c r="I56" s="472">
        <v>2.66</v>
      </c>
      <c r="J56" s="453">
        <v>9</v>
      </c>
      <c r="K56" s="154">
        <v>9</v>
      </c>
      <c r="L56" s="1"/>
    </row>
    <row r="57" spans="1:12" x14ac:dyDescent="0.3">
      <c r="A57" s="469">
        <v>32</v>
      </c>
      <c r="B57" s="536" t="s">
        <v>892</v>
      </c>
      <c r="C57" s="536"/>
      <c r="D57" s="536"/>
      <c r="E57" s="536"/>
      <c r="F57" s="536"/>
      <c r="G57" s="529">
        <v>1</v>
      </c>
      <c r="H57" s="529"/>
      <c r="I57" s="472">
        <v>1.36</v>
      </c>
      <c r="J57" s="453">
        <v>3</v>
      </c>
      <c r="K57" s="154">
        <f t="shared" ref="K57:K66" si="6">J57*G57</f>
        <v>3</v>
      </c>
      <c r="L57" s="1"/>
    </row>
    <row r="58" spans="1:12" x14ac:dyDescent="0.3">
      <c r="A58" s="469">
        <v>33</v>
      </c>
      <c r="B58" s="526" t="s">
        <v>15</v>
      </c>
      <c r="C58" s="527"/>
      <c r="D58" s="527"/>
      <c r="E58" s="527"/>
      <c r="F58" s="528"/>
      <c r="G58" s="529">
        <v>1</v>
      </c>
      <c r="H58" s="529"/>
      <c r="I58" s="472">
        <v>1.1299999999999999</v>
      </c>
      <c r="J58" s="453">
        <v>2</v>
      </c>
      <c r="K58" s="154">
        <f t="shared" si="6"/>
        <v>2</v>
      </c>
      <c r="L58" s="1"/>
    </row>
    <row r="59" spans="1:12" x14ac:dyDescent="0.3">
      <c r="A59" s="469">
        <v>34</v>
      </c>
      <c r="B59" s="526" t="s">
        <v>578</v>
      </c>
      <c r="C59" s="527"/>
      <c r="D59" s="527"/>
      <c r="E59" s="527"/>
      <c r="F59" s="528"/>
      <c r="G59" s="529">
        <v>1</v>
      </c>
      <c r="H59" s="529"/>
      <c r="I59" s="472">
        <v>1.63</v>
      </c>
      <c r="J59" s="453">
        <v>5</v>
      </c>
      <c r="K59" s="154">
        <f t="shared" si="6"/>
        <v>5</v>
      </c>
      <c r="L59" s="1"/>
    </row>
    <row r="60" spans="1:12" x14ac:dyDescent="0.3">
      <c r="A60" s="469">
        <v>35</v>
      </c>
      <c r="B60" s="526" t="s">
        <v>579</v>
      </c>
      <c r="C60" s="527"/>
      <c r="D60" s="527"/>
      <c r="E60" s="527"/>
      <c r="F60" s="528"/>
      <c r="G60" s="529">
        <v>1</v>
      </c>
      <c r="H60" s="529"/>
      <c r="I60" s="472">
        <v>1.63</v>
      </c>
      <c r="J60" s="453">
        <v>5</v>
      </c>
      <c r="K60" s="154">
        <f t="shared" si="6"/>
        <v>5</v>
      </c>
      <c r="L60" s="1"/>
    </row>
    <row r="61" spans="1:12" x14ac:dyDescent="0.3">
      <c r="A61" s="469">
        <v>36</v>
      </c>
      <c r="B61" s="526" t="s">
        <v>906</v>
      </c>
      <c r="C61" s="527"/>
      <c r="D61" s="527"/>
      <c r="E61" s="527"/>
      <c r="F61" s="528"/>
      <c r="G61" s="529">
        <v>1</v>
      </c>
      <c r="H61" s="529"/>
      <c r="I61" s="472">
        <v>1.63</v>
      </c>
      <c r="J61" s="453">
        <v>5</v>
      </c>
      <c r="K61" s="154"/>
      <c r="L61" s="1"/>
    </row>
    <row r="62" spans="1:12" x14ac:dyDescent="0.3">
      <c r="A62" s="469">
        <v>37</v>
      </c>
      <c r="B62" s="526" t="s">
        <v>893</v>
      </c>
      <c r="C62" s="527"/>
      <c r="D62" s="527"/>
      <c r="E62" s="527"/>
      <c r="F62" s="528"/>
      <c r="G62" s="529">
        <v>1</v>
      </c>
      <c r="H62" s="529"/>
      <c r="I62" s="472">
        <v>1.63</v>
      </c>
      <c r="J62" s="453">
        <v>5</v>
      </c>
      <c r="K62" s="154">
        <f t="shared" si="6"/>
        <v>5</v>
      </c>
      <c r="L62" s="1"/>
    </row>
    <row r="63" spans="1:12" x14ac:dyDescent="0.3">
      <c r="A63" s="469">
        <v>38</v>
      </c>
      <c r="B63" s="526" t="s">
        <v>16</v>
      </c>
      <c r="C63" s="527"/>
      <c r="D63" s="527"/>
      <c r="E63" s="527"/>
      <c r="F63" s="528"/>
      <c r="G63" s="529">
        <v>1</v>
      </c>
      <c r="H63" s="529"/>
      <c r="I63" s="472">
        <v>1.63</v>
      </c>
      <c r="J63" s="453">
        <v>5</v>
      </c>
      <c r="K63" s="154">
        <f t="shared" si="6"/>
        <v>5</v>
      </c>
      <c r="L63" s="1"/>
    </row>
    <row r="64" spans="1:12" x14ac:dyDescent="0.3">
      <c r="A64" s="469">
        <v>39</v>
      </c>
      <c r="B64" s="536" t="s">
        <v>894</v>
      </c>
      <c r="C64" s="536"/>
      <c r="D64" s="536"/>
      <c r="E64" s="536"/>
      <c r="F64" s="536"/>
      <c r="G64" s="529">
        <v>1</v>
      </c>
      <c r="H64" s="529"/>
      <c r="I64" s="472">
        <v>1.63</v>
      </c>
      <c r="J64" s="453">
        <v>5</v>
      </c>
      <c r="K64" s="154">
        <f t="shared" si="6"/>
        <v>5</v>
      </c>
      <c r="L64" s="1"/>
    </row>
    <row r="65" spans="1:12" x14ac:dyDescent="0.3">
      <c r="A65" s="469">
        <v>40</v>
      </c>
      <c r="B65" s="526" t="s">
        <v>895</v>
      </c>
      <c r="C65" s="527"/>
      <c r="D65" s="527"/>
      <c r="E65" s="527"/>
      <c r="F65" s="528"/>
      <c r="G65" s="529">
        <v>1</v>
      </c>
      <c r="H65" s="529"/>
      <c r="I65" s="472">
        <v>1.44</v>
      </c>
      <c r="J65" s="453">
        <v>4</v>
      </c>
      <c r="K65" s="154">
        <f t="shared" si="6"/>
        <v>4</v>
      </c>
      <c r="L65" s="1"/>
    </row>
    <row r="66" spans="1:12" x14ac:dyDescent="0.3">
      <c r="A66" s="469">
        <v>41</v>
      </c>
      <c r="B66" s="526" t="s">
        <v>896</v>
      </c>
      <c r="C66" s="527"/>
      <c r="D66" s="527"/>
      <c r="E66" s="527"/>
      <c r="F66" s="528"/>
      <c r="G66" s="529">
        <v>8</v>
      </c>
      <c r="H66" s="529"/>
      <c r="I66" s="472">
        <v>1.44</v>
      </c>
      <c r="J66" s="453">
        <v>4</v>
      </c>
      <c r="K66" s="154">
        <f t="shared" si="6"/>
        <v>32</v>
      </c>
      <c r="L66" s="479"/>
    </row>
    <row r="67" spans="1:12" x14ac:dyDescent="0.3">
      <c r="A67" s="469"/>
      <c r="B67" s="530" t="s">
        <v>878</v>
      </c>
      <c r="C67" s="531"/>
      <c r="D67" s="531"/>
      <c r="E67" s="531"/>
      <c r="F67" s="532"/>
      <c r="G67" s="533">
        <f>SUM(G56:G66)</f>
        <v>18</v>
      </c>
      <c r="H67" s="533"/>
      <c r="I67" s="472"/>
      <c r="J67" s="454"/>
      <c r="K67" s="154"/>
      <c r="L67" s="1"/>
    </row>
    <row r="68" spans="1:12" x14ac:dyDescent="0.3">
      <c r="A68" s="469"/>
      <c r="B68" s="538" t="s">
        <v>897</v>
      </c>
      <c r="C68" s="538"/>
      <c r="D68" s="538"/>
      <c r="E68" s="538"/>
      <c r="F68" s="538"/>
      <c r="G68" s="547"/>
      <c r="H68" s="548"/>
      <c r="I68" s="472"/>
      <c r="J68" s="454"/>
      <c r="K68" s="154"/>
      <c r="L68" s="1"/>
    </row>
    <row r="69" spans="1:12" x14ac:dyDescent="0.3">
      <c r="A69" s="469">
        <v>42</v>
      </c>
      <c r="B69" s="543" t="s">
        <v>730</v>
      </c>
      <c r="C69" s="544"/>
      <c r="D69" s="544"/>
      <c r="E69" s="544"/>
      <c r="F69" s="545"/>
      <c r="G69" s="537">
        <v>1</v>
      </c>
      <c r="H69" s="537"/>
      <c r="I69" s="472">
        <v>2.35</v>
      </c>
      <c r="J69" s="453">
        <v>8</v>
      </c>
      <c r="K69" s="473">
        <f>J69*G69</f>
        <v>8</v>
      </c>
      <c r="L69" s="1"/>
    </row>
    <row r="70" spans="1:12" x14ac:dyDescent="0.3">
      <c r="A70" s="469">
        <v>43</v>
      </c>
      <c r="B70" s="543" t="s">
        <v>898</v>
      </c>
      <c r="C70" s="544"/>
      <c r="D70" s="544"/>
      <c r="E70" s="544"/>
      <c r="F70" s="545"/>
      <c r="G70" s="546">
        <v>2</v>
      </c>
      <c r="H70" s="546"/>
      <c r="I70" s="472">
        <v>1.63</v>
      </c>
      <c r="J70" s="453">
        <v>5</v>
      </c>
      <c r="K70" s="154">
        <f t="shared" ref="K70:K73" si="7">J70*G70</f>
        <v>10</v>
      </c>
      <c r="L70" s="85"/>
    </row>
    <row r="71" spans="1:12" ht="22.2" customHeight="1" x14ac:dyDescent="0.3">
      <c r="A71" s="480">
        <v>44</v>
      </c>
      <c r="B71" s="540" t="s">
        <v>899</v>
      </c>
      <c r="C71" s="541"/>
      <c r="D71" s="541"/>
      <c r="E71" s="541"/>
      <c r="F71" s="542"/>
      <c r="G71" s="537">
        <v>4</v>
      </c>
      <c r="H71" s="537"/>
      <c r="I71" s="472">
        <v>1.28</v>
      </c>
      <c r="J71" s="453">
        <v>3</v>
      </c>
      <c r="K71" s="473">
        <f t="shared" si="7"/>
        <v>12</v>
      </c>
      <c r="L71" s="481"/>
    </row>
    <row r="72" spans="1:12" ht="25.8" customHeight="1" x14ac:dyDescent="0.3">
      <c r="A72" s="480">
        <v>45</v>
      </c>
      <c r="B72" s="540" t="s">
        <v>900</v>
      </c>
      <c r="C72" s="541"/>
      <c r="D72" s="541"/>
      <c r="E72" s="541"/>
      <c r="F72" s="542"/>
      <c r="G72" s="537">
        <v>11</v>
      </c>
      <c r="H72" s="537"/>
      <c r="I72" s="472">
        <v>1.44</v>
      </c>
      <c r="J72" s="453">
        <v>4</v>
      </c>
      <c r="K72" s="473">
        <f t="shared" si="7"/>
        <v>44</v>
      </c>
      <c r="L72" s="481"/>
    </row>
    <row r="73" spans="1:12" ht="25.8" customHeight="1" x14ac:dyDescent="0.3">
      <c r="A73" s="480">
        <v>46</v>
      </c>
      <c r="B73" s="540" t="s">
        <v>901</v>
      </c>
      <c r="C73" s="541"/>
      <c r="D73" s="541"/>
      <c r="E73" s="541"/>
      <c r="F73" s="542"/>
      <c r="G73" s="537">
        <v>18</v>
      </c>
      <c r="H73" s="537"/>
      <c r="I73" s="472">
        <v>1.63</v>
      </c>
      <c r="J73" s="453">
        <v>5</v>
      </c>
      <c r="K73" s="473">
        <f t="shared" si="7"/>
        <v>90</v>
      </c>
      <c r="L73" s="481"/>
    </row>
    <row r="74" spans="1:12" x14ac:dyDescent="0.3">
      <c r="A74" s="469"/>
      <c r="B74" s="530" t="s">
        <v>878</v>
      </c>
      <c r="C74" s="531"/>
      <c r="D74" s="531"/>
      <c r="E74" s="531"/>
      <c r="F74" s="532"/>
      <c r="G74" s="533">
        <f>SUM(G69:G73)</f>
        <v>36</v>
      </c>
      <c r="H74" s="533"/>
      <c r="I74" s="472"/>
      <c r="J74" s="454"/>
      <c r="K74" s="154"/>
      <c r="L74" s="1"/>
    </row>
    <row r="75" spans="1:12" x14ac:dyDescent="0.3">
      <c r="A75" s="469"/>
      <c r="B75" s="538" t="s">
        <v>902</v>
      </c>
      <c r="C75" s="538"/>
      <c r="D75" s="538"/>
      <c r="E75" s="538"/>
      <c r="F75" s="538"/>
      <c r="G75" s="529"/>
      <c r="H75" s="529"/>
      <c r="I75" s="472"/>
      <c r="J75" s="453"/>
      <c r="K75" s="154"/>
      <c r="L75" s="1"/>
    </row>
    <row r="76" spans="1:12" x14ac:dyDescent="0.3">
      <c r="A76" s="154">
        <v>47</v>
      </c>
      <c r="B76" s="539" t="s">
        <v>903</v>
      </c>
      <c r="C76" s="539"/>
      <c r="D76" s="539"/>
      <c r="E76" s="539"/>
      <c r="F76" s="539"/>
      <c r="G76" s="537">
        <v>1</v>
      </c>
      <c r="H76" s="537"/>
      <c r="I76" s="472">
        <v>1</v>
      </c>
      <c r="J76" s="453">
        <v>1</v>
      </c>
      <c r="K76" s="154">
        <f>J76*G76</f>
        <v>1</v>
      </c>
      <c r="L76" s="1"/>
    </row>
    <row r="77" spans="1:12" x14ac:dyDescent="0.3">
      <c r="A77" s="154">
        <v>48</v>
      </c>
      <c r="B77" s="536" t="s">
        <v>18</v>
      </c>
      <c r="C77" s="536"/>
      <c r="D77" s="536"/>
      <c r="E77" s="536"/>
      <c r="F77" s="536"/>
      <c r="G77" s="537">
        <v>2</v>
      </c>
      <c r="H77" s="537"/>
      <c r="I77" s="472">
        <v>1</v>
      </c>
      <c r="J77" s="453">
        <v>1</v>
      </c>
      <c r="K77" s="154">
        <f>J77*G77</f>
        <v>2</v>
      </c>
      <c r="L77" s="1"/>
    </row>
    <row r="78" spans="1:12" x14ac:dyDescent="0.3">
      <c r="A78" s="154">
        <v>49</v>
      </c>
      <c r="B78" s="536" t="s">
        <v>22</v>
      </c>
      <c r="C78" s="536"/>
      <c r="D78" s="536"/>
      <c r="E78" s="536"/>
      <c r="F78" s="536"/>
      <c r="G78" s="537">
        <v>4</v>
      </c>
      <c r="H78" s="537"/>
      <c r="I78" s="472">
        <v>1</v>
      </c>
      <c r="J78" s="453">
        <v>1</v>
      </c>
      <c r="K78" s="154">
        <f>J78*G78</f>
        <v>4</v>
      </c>
      <c r="L78" s="1"/>
    </row>
    <row r="79" spans="1:12" x14ac:dyDescent="0.3">
      <c r="A79" s="469"/>
      <c r="B79" s="530" t="s">
        <v>878</v>
      </c>
      <c r="C79" s="531"/>
      <c r="D79" s="531"/>
      <c r="E79" s="531"/>
      <c r="F79" s="532"/>
      <c r="G79" s="533">
        <f>SUM(G76:G78)</f>
        <v>7</v>
      </c>
      <c r="H79" s="533"/>
      <c r="I79" s="472"/>
      <c r="J79" s="454"/>
      <c r="K79" s="154"/>
      <c r="L79" s="1"/>
    </row>
    <row r="80" spans="1:12" x14ac:dyDescent="0.3">
      <c r="A80" s="534" t="s">
        <v>12</v>
      </c>
      <c r="B80" s="534"/>
      <c r="C80" s="534"/>
      <c r="D80" s="534"/>
      <c r="E80" s="534"/>
      <c r="F80" s="534"/>
      <c r="G80" s="535">
        <f>G21+G27+G32+G39+G44+G54+G67+G74+G79</f>
        <v>110</v>
      </c>
      <c r="H80" s="535"/>
      <c r="I80" s="482"/>
      <c r="J80" s="453"/>
      <c r="K80" s="483">
        <f>SUM(K10:K79)</f>
        <v>563</v>
      </c>
    </row>
    <row r="81" spans="1:11" ht="24" customHeight="1" x14ac:dyDescent="0.3">
      <c r="A81" s="155"/>
      <c r="B81" s="523"/>
      <c r="C81" s="523"/>
      <c r="D81" s="523"/>
      <c r="E81" s="523"/>
      <c r="F81" s="523"/>
      <c r="G81" s="524"/>
      <c r="H81" s="524"/>
      <c r="I81" s="484"/>
      <c r="J81" s="478"/>
      <c r="K81" s="1"/>
    </row>
    <row r="82" spans="1:11" x14ac:dyDescent="0.3">
      <c r="A82" s="485" t="s">
        <v>25</v>
      </c>
      <c r="B82" s="486"/>
      <c r="C82" s="486"/>
      <c r="D82" s="486"/>
      <c r="E82" s="486"/>
      <c r="F82" s="486"/>
      <c r="G82" s="525">
        <f>G80</f>
        <v>110</v>
      </c>
      <c r="H82" s="525"/>
      <c r="I82" s="487" t="s">
        <v>904</v>
      </c>
      <c r="J82" s="478"/>
      <c r="K82" s="488"/>
    </row>
    <row r="83" spans="1:11" ht="42.6" customHeight="1" x14ac:dyDescent="0.3">
      <c r="A83" s="520" t="s">
        <v>26</v>
      </c>
      <c r="B83" s="520"/>
      <c r="C83" s="520"/>
      <c r="D83" s="520"/>
      <c r="E83" s="520"/>
      <c r="F83" s="520"/>
      <c r="G83" s="520"/>
      <c r="H83" s="520"/>
      <c r="I83" s="520"/>
      <c r="J83" s="520"/>
      <c r="K83" s="520"/>
    </row>
    <row r="84" spans="1:11" x14ac:dyDescent="0.3">
      <c r="A84" s="2"/>
      <c r="B84" s="521" t="s">
        <v>27</v>
      </c>
      <c r="C84" s="521"/>
      <c r="D84" s="521"/>
      <c r="E84" s="521"/>
      <c r="F84" s="521"/>
      <c r="G84" s="522"/>
      <c r="H84" s="522"/>
      <c r="I84" s="450"/>
      <c r="J84" s="451"/>
      <c r="K84" s="3"/>
    </row>
    <row r="85" spans="1:11" x14ac:dyDescent="0.3">
      <c r="A85" s="2"/>
      <c r="B85" s="4"/>
      <c r="C85" s="4"/>
      <c r="D85" s="4"/>
      <c r="E85" s="5" t="s">
        <v>907</v>
      </c>
      <c r="F85" s="127">
        <f>460.5/96</f>
        <v>4.796875</v>
      </c>
      <c r="G85" s="515"/>
      <c r="H85" s="515"/>
      <c r="I85" s="450"/>
      <c r="J85" s="451"/>
      <c r="K85" s="3"/>
    </row>
    <row r="86" spans="1:11" x14ac:dyDescent="0.3">
      <c r="A86" s="2"/>
      <c r="B86" s="4" t="s">
        <v>28</v>
      </c>
      <c r="C86" s="4"/>
      <c r="D86" s="4"/>
      <c r="E86" s="4" t="s">
        <v>733</v>
      </c>
      <c r="F86" s="4"/>
      <c r="G86" s="4"/>
      <c r="H86" s="4"/>
      <c r="I86" s="450"/>
      <c r="J86" s="451"/>
      <c r="K86" s="3"/>
    </row>
    <row r="87" spans="1:11" x14ac:dyDescent="0.3">
      <c r="A87" s="6"/>
      <c r="B87" s="7"/>
      <c r="C87" s="7"/>
      <c r="D87" s="7"/>
      <c r="E87" s="7"/>
      <c r="F87" s="7"/>
      <c r="G87" s="516"/>
      <c r="H87" s="516"/>
      <c r="I87" s="447"/>
      <c r="J87" s="448"/>
      <c r="K87"/>
    </row>
    <row r="88" spans="1:11" ht="43.2" customHeight="1" x14ac:dyDescent="0.3">
      <c r="A88" s="517" t="s">
        <v>440</v>
      </c>
      <c r="B88" s="517"/>
      <c r="C88" s="517"/>
      <c r="D88" s="517"/>
      <c r="E88" s="517"/>
      <c r="F88" s="517"/>
      <c r="G88" s="517"/>
      <c r="H88" s="517"/>
      <c r="I88" s="517"/>
      <c r="J88" s="517"/>
      <c r="K88" s="517"/>
    </row>
    <row r="89" spans="1:11" x14ac:dyDescent="0.3">
      <c r="A89" s="449"/>
      <c r="B89" s="449"/>
      <c r="C89" s="449"/>
      <c r="D89" s="449"/>
      <c r="E89" s="449"/>
      <c r="F89" s="449"/>
      <c r="G89" s="449"/>
      <c r="H89" s="449"/>
      <c r="I89" s="449"/>
      <c r="J89" s="449"/>
      <c r="K89" s="449"/>
    </row>
    <row r="90" spans="1:11" x14ac:dyDescent="0.3">
      <c r="A90"/>
      <c r="B90" s="9" t="s">
        <v>466</v>
      </c>
      <c r="C90"/>
      <c r="D90"/>
      <c r="E90"/>
      <c r="F90"/>
      <c r="G90"/>
      <c r="H90"/>
      <c r="I90"/>
      <c r="J90"/>
      <c r="K90"/>
    </row>
  </sheetData>
  <mergeCells count="147">
    <mergeCell ref="B7:K7"/>
    <mergeCell ref="B8:F8"/>
    <mergeCell ref="G8:H8"/>
    <mergeCell ref="B9:F9"/>
    <mergeCell ref="G9:H9"/>
    <mergeCell ref="B15:F15"/>
    <mergeCell ref="G15:H15"/>
    <mergeCell ref="B16:F16"/>
    <mergeCell ref="G16:H16"/>
    <mergeCell ref="B13:F13"/>
    <mergeCell ref="G13:H13"/>
    <mergeCell ref="B14:F14"/>
    <mergeCell ref="G14:H14"/>
    <mergeCell ref="B11:F11"/>
    <mergeCell ref="G11:H11"/>
    <mergeCell ref="B12:F12"/>
    <mergeCell ref="G12:H12"/>
    <mergeCell ref="B21:F21"/>
    <mergeCell ref="G21:H21"/>
    <mergeCell ref="B22:F22"/>
    <mergeCell ref="G22:H22"/>
    <mergeCell ref="B19:F19"/>
    <mergeCell ref="G19:H19"/>
    <mergeCell ref="B20:F20"/>
    <mergeCell ref="G20:H20"/>
    <mergeCell ref="B17:F17"/>
    <mergeCell ref="G17:H17"/>
    <mergeCell ref="B18:F18"/>
    <mergeCell ref="G18:H18"/>
    <mergeCell ref="B27:F27"/>
    <mergeCell ref="G27:H27"/>
    <mergeCell ref="B28:F28"/>
    <mergeCell ref="G28:H28"/>
    <mergeCell ref="B25:F25"/>
    <mergeCell ref="G25:H25"/>
    <mergeCell ref="B26:F26"/>
    <mergeCell ref="G26:H26"/>
    <mergeCell ref="B23:F23"/>
    <mergeCell ref="G23:H23"/>
    <mergeCell ref="B24:F24"/>
    <mergeCell ref="G24:H24"/>
    <mergeCell ref="B33:F33"/>
    <mergeCell ref="G33:H33"/>
    <mergeCell ref="B34:F34"/>
    <mergeCell ref="G34:H34"/>
    <mergeCell ref="B31:F31"/>
    <mergeCell ref="G31:H31"/>
    <mergeCell ref="B32:F32"/>
    <mergeCell ref="G32:H32"/>
    <mergeCell ref="B29:F29"/>
    <mergeCell ref="G29:H29"/>
    <mergeCell ref="B30:F30"/>
    <mergeCell ref="G30:H30"/>
    <mergeCell ref="B39:F39"/>
    <mergeCell ref="G39:H39"/>
    <mergeCell ref="B40:F40"/>
    <mergeCell ref="G40:H40"/>
    <mergeCell ref="B37:F37"/>
    <mergeCell ref="G37:H37"/>
    <mergeCell ref="B38:F38"/>
    <mergeCell ref="G38:H38"/>
    <mergeCell ref="B35:F35"/>
    <mergeCell ref="G35:H35"/>
    <mergeCell ref="B36:F36"/>
    <mergeCell ref="G36:H36"/>
    <mergeCell ref="B49:F49"/>
    <mergeCell ref="G49:H49"/>
    <mergeCell ref="B50:F50"/>
    <mergeCell ref="G50:H50"/>
    <mergeCell ref="B43:F43"/>
    <mergeCell ref="G43:H43"/>
    <mergeCell ref="B44:F44"/>
    <mergeCell ref="G44:H44"/>
    <mergeCell ref="B41:F41"/>
    <mergeCell ref="G41:H41"/>
    <mergeCell ref="B42:F42"/>
    <mergeCell ref="G42:H42"/>
    <mergeCell ref="B55:F55"/>
    <mergeCell ref="G55:H55"/>
    <mergeCell ref="B56:F56"/>
    <mergeCell ref="G56:H56"/>
    <mergeCell ref="B53:F53"/>
    <mergeCell ref="G53:H53"/>
    <mergeCell ref="B54:F54"/>
    <mergeCell ref="G54:H54"/>
    <mergeCell ref="B51:F51"/>
    <mergeCell ref="G51:H51"/>
    <mergeCell ref="B52:F52"/>
    <mergeCell ref="G52:H52"/>
    <mergeCell ref="B62:F62"/>
    <mergeCell ref="G62:H62"/>
    <mergeCell ref="B63:F63"/>
    <mergeCell ref="G63:H63"/>
    <mergeCell ref="B59:F59"/>
    <mergeCell ref="G59:H59"/>
    <mergeCell ref="B60:F60"/>
    <mergeCell ref="G60:H60"/>
    <mergeCell ref="B57:F57"/>
    <mergeCell ref="G57:H57"/>
    <mergeCell ref="B58:F58"/>
    <mergeCell ref="G58:H58"/>
    <mergeCell ref="B67:F67"/>
    <mergeCell ref="G67:H67"/>
    <mergeCell ref="B68:F68"/>
    <mergeCell ref="G68:H68"/>
    <mergeCell ref="B65:F65"/>
    <mergeCell ref="G65:H65"/>
    <mergeCell ref="B66:F66"/>
    <mergeCell ref="G66:H66"/>
    <mergeCell ref="B64:F64"/>
    <mergeCell ref="G64:H64"/>
    <mergeCell ref="B73:F73"/>
    <mergeCell ref="G73:H73"/>
    <mergeCell ref="B74:F74"/>
    <mergeCell ref="G74:H74"/>
    <mergeCell ref="B71:F71"/>
    <mergeCell ref="G71:H71"/>
    <mergeCell ref="B72:F72"/>
    <mergeCell ref="G72:H72"/>
    <mergeCell ref="B69:F69"/>
    <mergeCell ref="G69:H69"/>
    <mergeCell ref="B70:F70"/>
    <mergeCell ref="G70:H70"/>
    <mergeCell ref="G85:H85"/>
    <mergeCell ref="G87:H87"/>
    <mergeCell ref="A88:K88"/>
    <mergeCell ref="G10:H10"/>
    <mergeCell ref="A83:K83"/>
    <mergeCell ref="B84:F84"/>
    <mergeCell ref="G84:H84"/>
    <mergeCell ref="B81:F81"/>
    <mergeCell ref="G81:H81"/>
    <mergeCell ref="G82:H82"/>
    <mergeCell ref="B61:F61"/>
    <mergeCell ref="G61:H61"/>
    <mergeCell ref="B79:F79"/>
    <mergeCell ref="G79:H79"/>
    <mergeCell ref="A80:F80"/>
    <mergeCell ref="G80:H80"/>
    <mergeCell ref="B77:F77"/>
    <mergeCell ref="G77:H77"/>
    <mergeCell ref="B78:F78"/>
    <mergeCell ref="G78:H78"/>
    <mergeCell ref="B75:F75"/>
    <mergeCell ref="G75:H75"/>
    <mergeCell ref="B76:F76"/>
    <mergeCell ref="G76:H7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57"/>
  <sheetViews>
    <sheetView topLeftCell="A33" workbookViewId="0">
      <selection activeCell="D37" sqref="D37:G37"/>
    </sheetView>
  </sheetViews>
  <sheetFormatPr defaultColWidth="8.77734375" defaultRowHeight="14.4" x14ac:dyDescent="0.3"/>
  <cols>
    <col min="1" max="1" width="8.77734375" style="9" bestFit="1" customWidth="1"/>
    <col min="2" max="2" width="43.5546875" style="9" customWidth="1"/>
    <col min="3" max="3" width="9.5546875" style="9" customWidth="1"/>
    <col min="4" max="4" width="8.77734375" style="9" bestFit="1" customWidth="1"/>
    <col min="5" max="5" width="9.21875" style="9" customWidth="1"/>
    <col min="6" max="6" width="8.44140625" style="9" customWidth="1"/>
    <col min="7" max="7" width="8.5546875" style="9" customWidth="1"/>
    <col min="8" max="16384" width="8.77734375" style="9"/>
  </cols>
  <sheetData>
    <row r="1" spans="1:7" x14ac:dyDescent="0.3">
      <c r="A1" s="157"/>
      <c r="B1" s="157"/>
      <c r="C1" s="157"/>
      <c r="D1" s="157"/>
      <c r="E1" s="157"/>
      <c r="F1" s="157"/>
      <c r="G1" s="157"/>
    </row>
    <row r="2" spans="1:7" ht="24" customHeight="1" x14ac:dyDescent="0.3">
      <c r="A2" s="715" t="s">
        <v>298</v>
      </c>
      <c r="B2" s="715"/>
      <c r="C2" s="157"/>
      <c r="D2" s="157"/>
      <c r="E2" s="157"/>
      <c r="F2" s="157"/>
      <c r="G2" s="157"/>
    </row>
    <row r="3" spans="1:7" x14ac:dyDescent="0.3">
      <c r="A3" s="460"/>
      <c r="B3" s="460" t="s">
        <v>919</v>
      </c>
      <c r="C3" s="157"/>
      <c r="D3" s="157"/>
      <c r="E3" s="157"/>
      <c r="F3" s="157"/>
      <c r="G3" s="157"/>
    </row>
    <row r="4" spans="1:7" x14ac:dyDescent="0.3">
      <c r="A4" s="324"/>
      <c r="B4" s="325" t="s">
        <v>292</v>
      </c>
      <c r="C4" s="157" t="s">
        <v>576</v>
      </c>
      <c r="D4" s="157"/>
      <c r="E4" s="157"/>
      <c r="F4" s="157"/>
      <c r="G4" s="157"/>
    </row>
    <row r="5" spans="1:7" ht="28.95" customHeight="1" x14ac:dyDescent="0.3">
      <c r="A5" s="326" t="s">
        <v>150</v>
      </c>
      <c r="B5" s="326" t="s">
        <v>233</v>
      </c>
      <c r="C5" s="327" t="s">
        <v>913</v>
      </c>
      <c r="D5" s="154" t="s">
        <v>867</v>
      </c>
      <c r="E5" s="154" t="s">
        <v>868</v>
      </c>
      <c r="F5" s="154" t="s">
        <v>869</v>
      </c>
      <c r="G5" s="154" t="s">
        <v>914</v>
      </c>
    </row>
    <row r="6" spans="1:7" x14ac:dyDescent="0.3">
      <c r="A6" s="328">
        <v>1</v>
      </c>
      <c r="B6" s="328">
        <v>2</v>
      </c>
      <c r="C6" s="339"/>
      <c r="D6" s="154"/>
      <c r="E6" s="154"/>
      <c r="F6" s="154"/>
      <c r="G6" s="154"/>
    </row>
    <row r="7" spans="1:7" x14ac:dyDescent="0.3">
      <c r="A7" s="329" t="s">
        <v>17</v>
      </c>
      <c r="B7" s="330" t="s">
        <v>299</v>
      </c>
      <c r="C7" s="331">
        <v>5967.15</v>
      </c>
      <c r="D7" s="458">
        <v>6265.51</v>
      </c>
      <c r="E7" s="458">
        <v>6578.78</v>
      </c>
      <c r="F7" s="458">
        <v>6907.72</v>
      </c>
      <c r="G7" s="458">
        <v>7253.11</v>
      </c>
    </row>
    <row r="8" spans="1:7" ht="24.6" x14ac:dyDescent="0.3">
      <c r="A8" s="329" t="s">
        <v>19</v>
      </c>
      <c r="B8" s="330" t="s">
        <v>431</v>
      </c>
      <c r="C8" s="458">
        <v>9456.0300000000007</v>
      </c>
      <c r="D8" s="458">
        <v>10079.4</v>
      </c>
      <c r="E8" s="458">
        <v>11282.87</v>
      </c>
      <c r="F8" s="458">
        <v>11113.36</v>
      </c>
      <c r="G8" s="458">
        <v>12439.08</v>
      </c>
    </row>
    <row r="9" spans="1:7" x14ac:dyDescent="0.3">
      <c r="A9" s="329"/>
      <c r="B9" s="330" t="s">
        <v>300</v>
      </c>
      <c r="C9" s="331"/>
      <c r="D9" s="154"/>
      <c r="E9" s="154"/>
      <c r="F9" s="154"/>
      <c r="G9" s="154"/>
    </row>
    <row r="10" spans="1:7" ht="17.25" customHeight="1" x14ac:dyDescent="0.3">
      <c r="A10" s="329" t="s">
        <v>21</v>
      </c>
      <c r="B10" s="330" t="s">
        <v>430</v>
      </c>
      <c r="C10" s="331">
        <v>2317.5</v>
      </c>
      <c r="D10" s="356">
        <f>C10*1.05</f>
        <v>2433.375</v>
      </c>
      <c r="E10" s="356">
        <f t="shared" ref="E10:G10" si="0">D10*1.05</f>
        <v>2555.0437500000003</v>
      </c>
      <c r="F10" s="356">
        <f t="shared" si="0"/>
        <v>2682.7959375000005</v>
      </c>
      <c r="G10" s="356">
        <f t="shared" si="0"/>
        <v>2816.9357343750007</v>
      </c>
    </row>
    <row r="11" spans="1:7" x14ac:dyDescent="0.3">
      <c r="A11" s="329">
        <v>3.1</v>
      </c>
      <c r="B11" s="330" t="s">
        <v>301</v>
      </c>
      <c r="C11" s="331">
        <v>0</v>
      </c>
      <c r="D11" s="154"/>
      <c r="E11" s="154"/>
      <c r="F11" s="154"/>
      <c r="G11" s="154"/>
    </row>
    <row r="12" spans="1:7" x14ac:dyDescent="0.3">
      <c r="A12" s="329" t="s">
        <v>169</v>
      </c>
      <c r="B12" s="330" t="s">
        <v>302</v>
      </c>
      <c r="C12" s="331"/>
      <c r="D12" s="154"/>
      <c r="E12" s="154"/>
      <c r="F12" s="154"/>
      <c r="G12" s="154"/>
    </row>
    <row r="13" spans="1:7" x14ac:dyDescent="0.3">
      <c r="A13" s="329" t="s">
        <v>234</v>
      </c>
      <c r="B13" s="330" t="s">
        <v>303</v>
      </c>
      <c r="C13" s="493">
        <f>C14+C15</f>
        <v>562.5</v>
      </c>
      <c r="D13" s="494">
        <f t="shared" ref="D13:G13" si="1">D14+D15</f>
        <v>590.625</v>
      </c>
      <c r="E13" s="494">
        <f t="shared" si="1"/>
        <v>620.15625</v>
      </c>
      <c r="F13" s="494">
        <f t="shared" si="1"/>
        <v>651.1640625</v>
      </c>
      <c r="G13" s="495">
        <f t="shared" si="1"/>
        <v>683.72226562499998</v>
      </c>
    </row>
    <row r="14" spans="1:7" x14ac:dyDescent="0.3">
      <c r="A14" s="329" t="s">
        <v>304</v>
      </c>
      <c r="B14" s="330" t="s">
        <v>305</v>
      </c>
      <c r="C14" s="493">
        <v>60.18</v>
      </c>
      <c r="D14" s="496">
        <f>C14*1.05</f>
        <v>63.189</v>
      </c>
      <c r="E14" s="496">
        <f t="shared" ref="E14:G14" si="2">D14*1.05</f>
        <v>66.34845</v>
      </c>
      <c r="F14" s="496">
        <f t="shared" si="2"/>
        <v>69.665872500000006</v>
      </c>
      <c r="G14" s="496">
        <f t="shared" si="2"/>
        <v>73.149166125000008</v>
      </c>
    </row>
    <row r="15" spans="1:7" x14ac:dyDescent="0.3">
      <c r="A15" s="329" t="s">
        <v>306</v>
      </c>
      <c r="B15" s="330" t="s">
        <v>307</v>
      </c>
      <c r="C15" s="493">
        <v>502.32</v>
      </c>
      <c r="D15" s="496">
        <f>C15*1.05</f>
        <v>527.43600000000004</v>
      </c>
      <c r="E15" s="496">
        <f t="shared" ref="E15:G16" si="3">D15*1.05</f>
        <v>553.80780000000004</v>
      </c>
      <c r="F15" s="496">
        <f t="shared" si="3"/>
        <v>581.49819000000002</v>
      </c>
      <c r="G15" s="496">
        <f t="shared" si="3"/>
        <v>610.57309950000001</v>
      </c>
    </row>
    <row r="16" spans="1:7" x14ac:dyDescent="0.3">
      <c r="A16" s="329" t="s">
        <v>236</v>
      </c>
      <c r="B16" s="330" t="s">
        <v>308</v>
      </c>
      <c r="C16" s="493">
        <v>112040.5</v>
      </c>
      <c r="D16" s="496">
        <f t="shared" ref="D16" si="4">C16*1.05</f>
        <v>117642.52500000001</v>
      </c>
      <c r="E16" s="496">
        <f t="shared" si="3"/>
        <v>123524.65125000001</v>
      </c>
      <c r="F16" s="496">
        <f t="shared" si="3"/>
        <v>129700.88381250002</v>
      </c>
      <c r="G16" s="496">
        <f t="shared" si="3"/>
        <v>136185.92800312504</v>
      </c>
    </row>
    <row r="17" spans="1:7" x14ac:dyDescent="0.3">
      <c r="A17" s="329"/>
      <c r="B17" s="330" t="s">
        <v>300</v>
      </c>
      <c r="C17" s="493"/>
      <c r="D17" s="458"/>
      <c r="E17" s="458"/>
      <c r="F17" s="458"/>
      <c r="G17" s="458"/>
    </row>
    <row r="18" spans="1:7" x14ac:dyDescent="0.3">
      <c r="A18" s="329" t="s">
        <v>23</v>
      </c>
      <c r="B18" s="330" t="s">
        <v>309</v>
      </c>
      <c r="C18" s="494">
        <f>C16*30.4%</f>
        <v>34060.311999999998</v>
      </c>
      <c r="D18" s="494">
        <f t="shared" ref="D18:G18" si="5">D16*30.4%</f>
        <v>35763.327600000004</v>
      </c>
      <c r="E18" s="494">
        <f t="shared" si="5"/>
        <v>37551.493979999999</v>
      </c>
      <c r="F18" s="494">
        <f t="shared" si="5"/>
        <v>39429.068679000004</v>
      </c>
      <c r="G18" s="495">
        <f t="shared" si="5"/>
        <v>41400.522112950013</v>
      </c>
    </row>
    <row r="19" spans="1:7" x14ac:dyDescent="0.3">
      <c r="A19" s="329"/>
      <c r="B19" s="330" t="s">
        <v>300</v>
      </c>
      <c r="C19" s="493"/>
      <c r="D19" s="458"/>
      <c r="E19" s="458"/>
      <c r="F19" s="458"/>
      <c r="G19" s="458"/>
    </row>
    <row r="20" spans="1:7" x14ac:dyDescent="0.3">
      <c r="A20" s="329" t="s">
        <v>237</v>
      </c>
      <c r="B20" s="330" t="s">
        <v>310</v>
      </c>
      <c r="C20" s="493">
        <v>875</v>
      </c>
      <c r="D20" s="493">
        <v>875</v>
      </c>
      <c r="E20" s="493">
        <v>875</v>
      </c>
      <c r="F20" s="493">
        <v>875</v>
      </c>
      <c r="G20" s="497">
        <v>875</v>
      </c>
    </row>
    <row r="21" spans="1:7" x14ac:dyDescent="0.3">
      <c r="A21" s="329" t="s">
        <v>238</v>
      </c>
      <c r="B21" s="330" t="s">
        <v>311</v>
      </c>
      <c r="C21" s="498">
        <f>C22+C23+C24+C25+C26+C30</f>
        <v>22239.59</v>
      </c>
      <c r="D21" s="498">
        <f t="shared" ref="D21:G21" si="6">D22+D23+D24+D25+D26+D30</f>
        <v>23230.903000000002</v>
      </c>
      <c r="E21" s="498">
        <f t="shared" si="6"/>
        <v>24271.781650000004</v>
      </c>
      <c r="F21" s="498">
        <f t="shared" si="6"/>
        <v>25364.704232500007</v>
      </c>
      <c r="G21" s="499">
        <f t="shared" si="6"/>
        <v>26512.272944125009</v>
      </c>
    </row>
    <row r="22" spans="1:7" x14ac:dyDescent="0.3">
      <c r="A22" s="329" t="s">
        <v>312</v>
      </c>
      <c r="B22" s="330" t="s">
        <v>610</v>
      </c>
      <c r="C22" s="493"/>
      <c r="D22" s="458"/>
      <c r="E22" s="458"/>
      <c r="F22" s="458"/>
      <c r="G22" s="458"/>
    </row>
    <row r="23" spans="1:7" x14ac:dyDescent="0.3">
      <c r="A23" s="329" t="s">
        <v>313</v>
      </c>
      <c r="B23" s="330" t="s">
        <v>439</v>
      </c>
      <c r="C23" s="497">
        <v>47.8</v>
      </c>
      <c r="D23" s="497">
        <v>47.8</v>
      </c>
      <c r="E23" s="497">
        <v>47.8</v>
      </c>
      <c r="F23" s="497">
        <v>47.8</v>
      </c>
      <c r="G23" s="497">
        <v>47.8</v>
      </c>
    </row>
    <row r="24" spans="1:7" x14ac:dyDescent="0.3">
      <c r="A24" s="329" t="s">
        <v>314</v>
      </c>
      <c r="B24" s="330" t="s">
        <v>315</v>
      </c>
      <c r="C24" s="497">
        <v>6.63</v>
      </c>
      <c r="D24" s="497">
        <v>6.63</v>
      </c>
      <c r="E24" s="497">
        <v>6.63</v>
      </c>
      <c r="F24" s="497">
        <v>6.63</v>
      </c>
      <c r="G24" s="497">
        <v>6.63</v>
      </c>
    </row>
    <row r="25" spans="1:7" ht="98.4" customHeight="1" x14ac:dyDescent="0.3">
      <c r="A25" s="329">
        <v>9.4</v>
      </c>
      <c r="B25" s="332" t="s">
        <v>553</v>
      </c>
      <c r="C25" s="331">
        <v>15555.32</v>
      </c>
      <c r="D25" s="507">
        <f>C25*1.05</f>
        <v>16333.086000000001</v>
      </c>
      <c r="E25" s="507">
        <f t="shared" ref="E25" si="7">D25*1.05</f>
        <v>17149.740300000001</v>
      </c>
      <c r="F25" s="507">
        <f t="shared" ref="F25" si="8">E25*1.05</f>
        <v>18007.227315000004</v>
      </c>
      <c r="G25" s="507">
        <f t="shared" ref="G25" si="9">F25*1.05</f>
        <v>18907.588680750006</v>
      </c>
    </row>
    <row r="26" spans="1:7" ht="24.6" x14ac:dyDescent="0.3">
      <c r="A26" s="329" t="s">
        <v>316</v>
      </c>
      <c r="B26" s="330" t="s">
        <v>317</v>
      </c>
      <c r="C26" s="331">
        <f t="shared" ref="C26:G26" si="10">C28+C29</f>
        <v>2358.9</v>
      </c>
      <c r="D26" s="331">
        <f t="shared" si="10"/>
        <v>2358.9</v>
      </c>
      <c r="E26" s="331">
        <f t="shared" si="10"/>
        <v>2358.9</v>
      </c>
      <c r="F26" s="331">
        <f t="shared" si="10"/>
        <v>2358.9</v>
      </c>
      <c r="G26" s="357">
        <f t="shared" si="10"/>
        <v>2358.9</v>
      </c>
    </row>
    <row r="27" spans="1:7" x14ac:dyDescent="0.3">
      <c r="A27" s="329" t="s">
        <v>318</v>
      </c>
      <c r="B27" s="330" t="s">
        <v>319</v>
      </c>
      <c r="C27" s="331"/>
      <c r="D27" s="154"/>
      <c r="E27" s="154"/>
      <c r="F27" s="154"/>
      <c r="G27" s="154"/>
    </row>
    <row r="28" spans="1:7" x14ac:dyDescent="0.3">
      <c r="A28" s="329" t="s">
        <v>320</v>
      </c>
      <c r="B28" s="330" t="s">
        <v>321</v>
      </c>
      <c r="C28" s="331">
        <v>29.77</v>
      </c>
      <c r="D28" s="331">
        <v>29.77</v>
      </c>
      <c r="E28" s="331">
        <v>29.77</v>
      </c>
      <c r="F28" s="331">
        <v>29.77</v>
      </c>
      <c r="G28" s="357">
        <v>29.77</v>
      </c>
    </row>
    <row r="29" spans="1:7" x14ac:dyDescent="0.3">
      <c r="A29" s="329" t="s">
        <v>322</v>
      </c>
      <c r="B29" s="330" t="s">
        <v>323</v>
      </c>
      <c r="C29" s="331">
        <v>2329.13</v>
      </c>
      <c r="D29" s="331">
        <v>2329.13</v>
      </c>
      <c r="E29" s="331">
        <v>2329.13</v>
      </c>
      <c r="F29" s="331">
        <v>2329.13</v>
      </c>
      <c r="G29" s="357">
        <v>2329.13</v>
      </c>
    </row>
    <row r="30" spans="1:7" ht="24.6" x14ac:dyDescent="0.3">
      <c r="A30" s="329" t="s">
        <v>324</v>
      </c>
      <c r="B30" s="330" t="s">
        <v>325</v>
      </c>
      <c r="C30" s="495">
        <v>4270.9399999999996</v>
      </c>
      <c r="D30" s="496">
        <f>C30*1.05</f>
        <v>4484.4870000000001</v>
      </c>
      <c r="E30" s="496">
        <f t="shared" ref="E30" si="11">D30*1.05</f>
        <v>4708.7113500000005</v>
      </c>
      <c r="F30" s="496">
        <f t="shared" ref="F30" si="12">E30*1.05</f>
        <v>4944.1469175000011</v>
      </c>
      <c r="G30" s="496">
        <f t="shared" ref="G30" si="13">F30*1.05</f>
        <v>5191.3542633750012</v>
      </c>
    </row>
    <row r="31" spans="1:7" x14ac:dyDescent="0.3">
      <c r="A31" s="329" t="s">
        <v>326</v>
      </c>
      <c r="B31" s="330"/>
      <c r="C31" s="331"/>
      <c r="D31" s="154"/>
      <c r="E31" s="154"/>
      <c r="F31" s="154"/>
      <c r="G31" s="154"/>
    </row>
    <row r="32" spans="1:7" x14ac:dyDescent="0.3">
      <c r="A32" s="333"/>
      <c r="B32" s="330"/>
      <c r="C32" s="331"/>
      <c r="D32" s="154"/>
      <c r="E32" s="154"/>
      <c r="F32" s="154"/>
      <c r="G32" s="154"/>
    </row>
    <row r="33" spans="1:7" x14ac:dyDescent="0.3">
      <c r="A33" s="329" t="s">
        <v>239</v>
      </c>
      <c r="B33" s="330" t="s">
        <v>327</v>
      </c>
      <c r="C33" s="340">
        <f>C7+C8+C10+C12+C13+C16+C18+C20+C21+C32</f>
        <v>187518.58199999999</v>
      </c>
      <c r="D33" s="340">
        <f t="shared" ref="D33:G33" si="14">D7+D8+D10+D12+D13+D16+D18+D20+D21+D32</f>
        <v>196880.66560000001</v>
      </c>
      <c r="E33" s="340">
        <f t="shared" si="14"/>
        <v>207259.77688000002</v>
      </c>
      <c r="F33" s="340">
        <f t="shared" si="14"/>
        <v>216724.69672400004</v>
      </c>
      <c r="G33" s="346">
        <f t="shared" si="14"/>
        <v>228166.57106020005</v>
      </c>
    </row>
    <row r="34" spans="1:7" ht="24.6" x14ac:dyDescent="0.3">
      <c r="A34" s="329" t="s">
        <v>240</v>
      </c>
      <c r="B34" s="330" t="s">
        <v>925</v>
      </c>
      <c r="C34" s="154">
        <v>2317.77</v>
      </c>
      <c r="D34" s="514">
        <v>2323.7199999999998</v>
      </c>
      <c r="E34" s="154">
        <v>1680.87</v>
      </c>
      <c r="F34" s="154">
        <v>7253.82</v>
      </c>
      <c r="G34" s="154">
        <v>3316.78</v>
      </c>
    </row>
    <row r="35" spans="1:7" x14ac:dyDescent="0.3">
      <c r="A35" s="329" t="s">
        <v>329</v>
      </c>
      <c r="B35" s="330" t="s">
        <v>926</v>
      </c>
      <c r="C35" s="154">
        <v>1038.82</v>
      </c>
      <c r="D35" s="154">
        <v>1038.82</v>
      </c>
      <c r="E35" s="154">
        <v>1038.82</v>
      </c>
      <c r="F35" s="154">
        <v>1038.82</v>
      </c>
      <c r="G35" s="154">
        <v>1038.82</v>
      </c>
    </row>
    <row r="36" spans="1:7" x14ac:dyDescent="0.3">
      <c r="A36" s="329"/>
      <c r="B36" s="330"/>
      <c r="C36" s="331"/>
      <c r="D36" s="154"/>
      <c r="E36" s="154"/>
      <c r="F36" s="154"/>
      <c r="G36" s="154"/>
    </row>
    <row r="37" spans="1:7" x14ac:dyDescent="0.3">
      <c r="A37" s="334" t="s">
        <v>331</v>
      </c>
      <c r="B37" s="335" t="s">
        <v>332</v>
      </c>
      <c r="C37" s="341">
        <f>C33+C34+C35</f>
        <v>190875.17199999999</v>
      </c>
      <c r="D37" s="341">
        <f t="shared" ref="D37:G37" si="15">D33+D34+D35</f>
        <v>200243.20560000002</v>
      </c>
      <c r="E37" s="341">
        <f t="shared" si="15"/>
        <v>209979.46688000002</v>
      </c>
      <c r="F37" s="341">
        <f t="shared" si="15"/>
        <v>225017.33672400005</v>
      </c>
      <c r="G37" s="341">
        <f t="shared" si="15"/>
        <v>232522.17106020005</v>
      </c>
    </row>
    <row r="38" spans="1:7" x14ac:dyDescent="0.3">
      <c r="A38" s="329"/>
      <c r="B38" s="330" t="s">
        <v>333</v>
      </c>
      <c r="C38" s="331"/>
      <c r="D38" s="154"/>
      <c r="E38" s="154"/>
      <c r="F38" s="154"/>
      <c r="G38" s="154"/>
    </row>
    <row r="39" spans="1:7" x14ac:dyDescent="0.3">
      <c r="A39" s="333" t="s">
        <v>334</v>
      </c>
      <c r="B39" s="330" t="s">
        <v>335</v>
      </c>
      <c r="C39" s="331"/>
      <c r="D39" s="154"/>
      <c r="E39" s="154"/>
      <c r="F39" s="154"/>
      <c r="G39" s="154"/>
    </row>
    <row r="40" spans="1:7" x14ac:dyDescent="0.3">
      <c r="A40" s="333" t="s">
        <v>336</v>
      </c>
      <c r="B40" s="330" t="s">
        <v>337</v>
      </c>
      <c r="C40" s="331"/>
      <c r="D40" s="154"/>
      <c r="E40" s="154"/>
      <c r="F40" s="154"/>
      <c r="G40" s="154"/>
    </row>
    <row r="41" spans="1:7" x14ac:dyDescent="0.3">
      <c r="A41" s="333" t="s">
        <v>338</v>
      </c>
      <c r="B41" s="330" t="s">
        <v>339</v>
      </c>
      <c r="C41" s="331"/>
      <c r="D41" s="154"/>
      <c r="E41" s="154"/>
      <c r="F41" s="154"/>
      <c r="G41" s="154"/>
    </row>
    <row r="42" spans="1:7" x14ac:dyDescent="0.3">
      <c r="A42" s="333" t="s">
        <v>340</v>
      </c>
      <c r="B42" s="330" t="s">
        <v>341</v>
      </c>
      <c r="C42" s="331"/>
      <c r="D42" s="154"/>
      <c r="E42" s="154"/>
      <c r="F42" s="154"/>
      <c r="G42" s="154"/>
    </row>
    <row r="43" spans="1:7" x14ac:dyDescent="0.3">
      <c r="A43" s="329" t="s">
        <v>342</v>
      </c>
      <c r="B43" s="330" t="s">
        <v>343</v>
      </c>
      <c r="C43" s="331"/>
      <c r="D43" s="154"/>
      <c r="E43" s="154"/>
      <c r="F43" s="154"/>
      <c r="G43" s="154"/>
    </row>
    <row r="44" spans="1:7" x14ac:dyDescent="0.3">
      <c r="A44" s="333" t="s">
        <v>344</v>
      </c>
      <c r="B44" s="330" t="s">
        <v>345</v>
      </c>
      <c r="C44" s="331"/>
      <c r="D44" s="154"/>
      <c r="E44" s="154"/>
      <c r="F44" s="154"/>
      <c r="G44" s="154"/>
    </row>
    <row r="45" spans="1:7" x14ac:dyDescent="0.3">
      <c r="A45" s="333" t="s">
        <v>346</v>
      </c>
      <c r="B45" s="330" t="s">
        <v>347</v>
      </c>
      <c r="C45" s="331"/>
      <c r="D45" s="154"/>
      <c r="E45" s="154"/>
      <c r="F45" s="154"/>
      <c r="G45" s="154"/>
    </row>
    <row r="46" spans="1:7" x14ac:dyDescent="0.3">
      <c r="A46" s="333" t="s">
        <v>348</v>
      </c>
      <c r="B46" s="330" t="s">
        <v>349</v>
      </c>
      <c r="C46" s="331"/>
      <c r="D46" s="154"/>
      <c r="E46" s="154"/>
      <c r="F46" s="154"/>
      <c r="G46" s="154"/>
    </row>
    <row r="47" spans="1:7" x14ac:dyDescent="0.3">
      <c r="A47" s="329" t="s">
        <v>350</v>
      </c>
      <c r="B47" s="330" t="s">
        <v>351</v>
      </c>
      <c r="C47" s="331"/>
      <c r="D47" s="154"/>
      <c r="E47" s="154"/>
      <c r="F47" s="154"/>
      <c r="G47" s="154"/>
    </row>
    <row r="48" spans="1:7" x14ac:dyDescent="0.3">
      <c r="A48" s="328"/>
      <c r="B48" s="328" t="s">
        <v>352</v>
      </c>
      <c r="C48" s="342"/>
      <c r="D48" s="154"/>
      <c r="E48" s="154"/>
      <c r="F48" s="154"/>
      <c r="G48" s="154"/>
    </row>
    <row r="49" spans="1:7" x14ac:dyDescent="0.3">
      <c r="A49" s="158"/>
      <c r="B49" s="336" t="s">
        <v>353</v>
      </c>
      <c r="C49" s="337">
        <f t="shared" ref="C49:G49" si="16">C37</f>
        <v>190875.17199999999</v>
      </c>
      <c r="D49" s="337">
        <f t="shared" si="16"/>
        <v>200243.20560000002</v>
      </c>
      <c r="E49" s="337">
        <f t="shared" si="16"/>
        <v>209979.46688000002</v>
      </c>
      <c r="F49" s="337">
        <f t="shared" si="16"/>
        <v>225017.33672400005</v>
      </c>
      <c r="G49" s="347">
        <f t="shared" si="16"/>
        <v>232522.17106020005</v>
      </c>
    </row>
    <row r="50" spans="1:7" x14ac:dyDescent="0.3">
      <c r="A50" s="158"/>
      <c r="B50" s="330" t="s">
        <v>739</v>
      </c>
      <c r="C50" s="331">
        <v>1840</v>
      </c>
      <c r="D50" s="154">
        <v>1916.5</v>
      </c>
      <c r="E50" s="501">
        <v>1996.8</v>
      </c>
      <c r="F50" s="501">
        <v>2081.1999999999998</v>
      </c>
      <c r="G50" s="501">
        <v>2169.6999999999998</v>
      </c>
    </row>
    <row r="51" spans="1:7" x14ac:dyDescent="0.3">
      <c r="A51" s="158"/>
      <c r="B51" s="338" t="s">
        <v>738</v>
      </c>
      <c r="C51" s="331"/>
      <c r="D51" s="154"/>
      <c r="E51" s="154"/>
      <c r="F51" s="154"/>
      <c r="G51" s="154"/>
    </row>
    <row r="52" spans="1:7" x14ac:dyDescent="0.3">
      <c r="A52" s="158"/>
      <c r="B52" s="330" t="s">
        <v>665</v>
      </c>
      <c r="C52" s="331">
        <f>C50*20%</f>
        <v>368</v>
      </c>
      <c r="D52" s="331">
        <f t="shared" ref="D52:G52" si="17">D50*20%</f>
        <v>383.3</v>
      </c>
      <c r="E52" s="331">
        <f t="shared" si="17"/>
        <v>399.36</v>
      </c>
      <c r="F52" s="331">
        <f t="shared" si="17"/>
        <v>416.24</v>
      </c>
      <c r="G52" s="357">
        <f t="shared" si="17"/>
        <v>433.94</v>
      </c>
    </row>
    <row r="53" spans="1:7" x14ac:dyDescent="0.3">
      <c r="A53" s="158"/>
      <c r="B53" s="330" t="s">
        <v>354</v>
      </c>
      <c r="C53" s="361">
        <f>C49+C52+C50+C51</f>
        <v>193083.17199999999</v>
      </c>
      <c r="D53" s="361">
        <f>D49+D52+D50+D51</f>
        <v>202543.0056</v>
      </c>
      <c r="E53" s="361">
        <f t="shared" ref="E53:G53" si="18">E49+E52+E50+E51</f>
        <v>212375.62688</v>
      </c>
      <c r="F53" s="361">
        <f t="shared" si="18"/>
        <v>227514.77672400005</v>
      </c>
      <c r="G53" s="362">
        <f t="shared" si="18"/>
        <v>235125.81106020007</v>
      </c>
    </row>
    <row r="54" spans="1:7" x14ac:dyDescent="0.3">
      <c r="A54" s="714"/>
      <c r="B54" s="714"/>
      <c r="C54" s="157"/>
      <c r="D54" s="358"/>
      <c r="E54" s="358"/>
      <c r="F54" s="157"/>
      <c r="G54" s="157"/>
    </row>
    <row r="55" spans="1:7" x14ac:dyDescent="0.3">
      <c r="D55" s="85"/>
      <c r="E55" s="85"/>
    </row>
    <row r="56" spans="1:7" x14ac:dyDescent="0.3">
      <c r="B56" s="53" t="s">
        <v>918</v>
      </c>
      <c r="D56" s="85"/>
      <c r="E56" s="85"/>
    </row>
    <row r="57" spans="1:7" x14ac:dyDescent="0.3">
      <c r="D57" s="85"/>
      <c r="E57" s="85"/>
    </row>
  </sheetData>
  <mergeCells count="2">
    <mergeCell ref="A54:B54"/>
    <mergeCell ref="A2:B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1"/>
  <sheetViews>
    <sheetView topLeftCell="A19" workbookViewId="0">
      <selection activeCell="H50" sqref="A1:H50"/>
    </sheetView>
  </sheetViews>
  <sheetFormatPr defaultColWidth="8.77734375" defaultRowHeight="13.8" x14ac:dyDescent="0.3"/>
  <cols>
    <col min="1" max="1" width="6.5546875" style="251" customWidth="1"/>
    <col min="2" max="2" width="42.77734375" style="251" customWidth="1"/>
    <col min="3" max="4" width="11.77734375" style="251" customWidth="1"/>
    <col min="5" max="5" width="11" style="251" customWidth="1"/>
    <col min="6" max="6" width="9.6640625" style="251" customWidth="1"/>
    <col min="7" max="7" width="10.6640625" style="251" customWidth="1"/>
    <col min="8" max="8" width="10.109375" style="251" bestFit="1" customWidth="1"/>
    <col min="9" max="16384" width="8.77734375" style="251"/>
  </cols>
  <sheetData>
    <row r="1" spans="1:8" x14ac:dyDescent="0.3">
      <c r="A1" s="716" t="s">
        <v>438</v>
      </c>
      <c r="B1" s="716"/>
      <c r="C1" s="716"/>
    </row>
    <row r="2" spans="1:8" x14ac:dyDescent="0.3">
      <c r="A2" s="716"/>
      <c r="B2" s="716"/>
      <c r="C2" s="716"/>
      <c r="D2" s="251" t="s">
        <v>467</v>
      </c>
    </row>
    <row r="3" spans="1:8" ht="26.55" customHeight="1" x14ac:dyDescent="0.3">
      <c r="A3" s="289" t="s">
        <v>241</v>
      </c>
      <c r="B3" s="289" t="s">
        <v>151</v>
      </c>
      <c r="C3" s="290" t="s">
        <v>242</v>
      </c>
      <c r="D3" s="88" t="s">
        <v>908</v>
      </c>
      <c r="E3" s="87" t="s">
        <v>909</v>
      </c>
      <c r="F3" s="87" t="s">
        <v>910</v>
      </c>
      <c r="G3" s="87" t="s">
        <v>911</v>
      </c>
      <c r="H3" s="87" t="s">
        <v>912</v>
      </c>
    </row>
    <row r="4" spans="1:8" ht="10.95" customHeight="1" x14ac:dyDescent="0.3">
      <c r="A4" s="299">
        <v>1</v>
      </c>
      <c r="B4" s="299">
        <v>2</v>
      </c>
      <c r="C4" s="299">
        <v>3</v>
      </c>
      <c r="D4" s="250">
        <v>4</v>
      </c>
      <c r="E4" s="250">
        <v>5</v>
      </c>
      <c r="F4" s="250">
        <v>6</v>
      </c>
      <c r="G4" s="250">
        <v>7</v>
      </c>
      <c r="H4" s="250">
        <v>8</v>
      </c>
    </row>
    <row r="5" spans="1:8" x14ac:dyDescent="0.3">
      <c r="A5" s="292" t="s">
        <v>17</v>
      </c>
      <c r="B5" s="292" t="s">
        <v>243</v>
      </c>
      <c r="C5" s="292"/>
      <c r="D5" s="202">
        <v>110</v>
      </c>
      <c r="E5" s="202">
        <v>110</v>
      </c>
      <c r="F5" s="202">
        <v>110</v>
      </c>
      <c r="G5" s="202">
        <v>110</v>
      </c>
      <c r="H5" s="202">
        <v>110</v>
      </c>
    </row>
    <row r="6" spans="1:8" x14ac:dyDescent="0.3">
      <c r="A6" s="292"/>
      <c r="B6" s="292" t="s">
        <v>244</v>
      </c>
      <c r="C6" s="293" t="s">
        <v>59</v>
      </c>
      <c r="D6" s="293">
        <v>110</v>
      </c>
      <c r="E6" s="461">
        <v>110</v>
      </c>
      <c r="F6" s="461">
        <v>110</v>
      </c>
      <c r="G6" s="461">
        <v>110</v>
      </c>
      <c r="H6" s="461">
        <v>110</v>
      </c>
    </row>
    <row r="7" spans="1:8" x14ac:dyDescent="0.3">
      <c r="A7" s="292" t="s">
        <v>19</v>
      </c>
      <c r="B7" s="292" t="s">
        <v>245</v>
      </c>
      <c r="C7" s="293"/>
      <c r="D7" s="294"/>
      <c r="E7" s="294"/>
      <c r="F7" s="294"/>
      <c r="G7" s="294"/>
      <c r="H7" s="294"/>
    </row>
    <row r="8" spans="1:8" x14ac:dyDescent="0.3">
      <c r="A8" s="292" t="s">
        <v>246</v>
      </c>
      <c r="B8" s="295" t="s">
        <v>247</v>
      </c>
      <c r="C8" s="293" t="s">
        <v>248</v>
      </c>
      <c r="D8" s="296">
        <v>12639</v>
      </c>
      <c r="E8" s="297">
        <f>D8*1.05</f>
        <v>13270.95</v>
      </c>
      <c r="F8" s="297">
        <f t="shared" ref="F8:H8" si="0">E8*1.05</f>
        <v>13934.497500000001</v>
      </c>
      <c r="G8" s="297">
        <f t="shared" si="0"/>
        <v>14631.222375000001</v>
      </c>
      <c r="H8" s="297">
        <f t="shared" si="0"/>
        <v>15362.783493750001</v>
      </c>
    </row>
    <row r="9" spans="1:8" x14ac:dyDescent="0.3">
      <c r="A9" s="292" t="s">
        <v>249</v>
      </c>
      <c r="B9" s="292" t="s">
        <v>250</v>
      </c>
      <c r="C9" s="293"/>
      <c r="D9" s="294"/>
      <c r="E9" s="294"/>
      <c r="F9" s="294"/>
      <c r="G9" s="294"/>
      <c r="H9" s="294"/>
    </row>
    <row r="10" spans="1:8" x14ac:dyDescent="0.3">
      <c r="A10" s="292" t="s">
        <v>251</v>
      </c>
      <c r="B10" s="295" t="s">
        <v>252</v>
      </c>
      <c r="C10" s="293" t="s">
        <v>248</v>
      </c>
      <c r="D10" s="298"/>
      <c r="E10" s="298"/>
      <c r="F10" s="298"/>
      <c r="G10" s="298"/>
      <c r="H10" s="298"/>
    </row>
    <row r="11" spans="1:8" x14ac:dyDescent="0.3">
      <c r="A11" s="292" t="s">
        <v>253</v>
      </c>
      <c r="B11" s="292" t="s">
        <v>254</v>
      </c>
      <c r="C11" s="293"/>
      <c r="D11" s="293">
        <v>5</v>
      </c>
      <c r="E11" s="293">
        <v>5</v>
      </c>
      <c r="F11" s="293">
        <v>5</v>
      </c>
      <c r="G11" s="293">
        <v>5</v>
      </c>
      <c r="H11" s="293">
        <v>5</v>
      </c>
    </row>
    <row r="12" spans="1:8" x14ac:dyDescent="0.3">
      <c r="A12" s="717" t="s">
        <v>255</v>
      </c>
      <c r="B12" s="718" t="s">
        <v>256</v>
      </c>
      <c r="C12" s="719"/>
      <c r="D12" s="293">
        <v>1.75</v>
      </c>
      <c r="E12" s="455">
        <v>1.75</v>
      </c>
      <c r="F12" s="455">
        <v>1.75</v>
      </c>
      <c r="G12" s="455">
        <v>1.75</v>
      </c>
      <c r="H12" s="455">
        <v>1.75</v>
      </c>
    </row>
    <row r="13" spans="1:8" ht="26.25" customHeight="1" x14ac:dyDescent="0.3">
      <c r="A13" s="717"/>
      <c r="B13" s="718"/>
      <c r="C13" s="719"/>
      <c r="D13" s="293"/>
      <c r="E13" s="293"/>
      <c r="F13" s="293"/>
      <c r="G13" s="293"/>
      <c r="H13" s="293"/>
    </row>
    <row r="14" spans="1:8" ht="27" x14ac:dyDescent="0.3">
      <c r="A14" s="292" t="s">
        <v>257</v>
      </c>
      <c r="B14" s="295" t="s">
        <v>258</v>
      </c>
      <c r="C14" s="293" t="s">
        <v>248</v>
      </c>
      <c r="D14" s="300">
        <v>22118</v>
      </c>
      <c r="E14" s="300">
        <f>E8*E12</f>
        <v>23224.162500000002</v>
      </c>
      <c r="F14" s="300">
        <f>F8*F12</f>
        <v>24385.370625000003</v>
      </c>
      <c r="G14" s="300">
        <f t="shared" ref="G14:H14" si="1">G8*G12</f>
        <v>25604.639156250003</v>
      </c>
      <c r="H14" s="300">
        <f t="shared" si="1"/>
        <v>26884.871114062502</v>
      </c>
    </row>
    <row r="15" spans="1:8" x14ac:dyDescent="0.3">
      <c r="A15" s="292" t="s">
        <v>259</v>
      </c>
      <c r="B15" s="718" t="s">
        <v>260</v>
      </c>
      <c r="C15" s="719"/>
      <c r="D15" s="294"/>
      <c r="E15" s="294"/>
      <c r="F15" s="294"/>
      <c r="G15" s="294"/>
      <c r="H15" s="294"/>
    </row>
    <row r="16" spans="1:8" x14ac:dyDescent="0.3">
      <c r="A16" s="292"/>
      <c r="B16" s="718"/>
      <c r="C16" s="719"/>
      <c r="D16" s="294"/>
      <c r="E16" s="294"/>
      <c r="F16" s="294"/>
      <c r="G16" s="294"/>
      <c r="H16" s="294"/>
    </row>
    <row r="17" spans="1:8" x14ac:dyDescent="0.3">
      <c r="A17" s="292" t="s">
        <v>261</v>
      </c>
      <c r="B17" s="292" t="s">
        <v>539</v>
      </c>
      <c r="C17" s="293" t="s">
        <v>263</v>
      </c>
      <c r="D17" s="293"/>
      <c r="E17" s="293"/>
      <c r="F17" s="293"/>
      <c r="G17" s="293"/>
      <c r="H17" s="293"/>
    </row>
    <row r="18" spans="1:8" x14ac:dyDescent="0.3">
      <c r="A18" s="292" t="s">
        <v>264</v>
      </c>
      <c r="B18" s="292" t="s">
        <v>265</v>
      </c>
      <c r="C18" s="293" t="s">
        <v>248</v>
      </c>
      <c r="D18" s="300">
        <f t="shared" ref="D18:E18" si="2">D14*D17/100</f>
        <v>0</v>
      </c>
      <c r="E18" s="300">
        <f t="shared" si="2"/>
        <v>0</v>
      </c>
      <c r="F18" s="300">
        <f t="shared" ref="F18:H18" si="3">F14*F17/100</f>
        <v>0</v>
      </c>
      <c r="G18" s="300">
        <f t="shared" si="3"/>
        <v>0</v>
      </c>
      <c r="H18" s="300">
        <f t="shared" si="3"/>
        <v>0</v>
      </c>
    </row>
    <row r="19" spans="1:8" x14ac:dyDescent="0.3">
      <c r="A19" s="292" t="s">
        <v>266</v>
      </c>
      <c r="B19" s="292" t="s">
        <v>267</v>
      </c>
      <c r="C19" s="293"/>
      <c r="D19" s="294"/>
      <c r="E19" s="294"/>
      <c r="F19" s="294"/>
      <c r="G19" s="294"/>
      <c r="H19" s="294"/>
    </row>
    <row r="20" spans="1:8" x14ac:dyDescent="0.3">
      <c r="A20" s="292" t="s">
        <v>268</v>
      </c>
      <c r="B20" s="292" t="s">
        <v>262</v>
      </c>
      <c r="C20" s="293" t="s">
        <v>263</v>
      </c>
      <c r="D20" s="293">
        <v>60</v>
      </c>
      <c r="E20" s="461">
        <v>60</v>
      </c>
      <c r="F20" s="461">
        <v>60</v>
      </c>
      <c r="G20" s="461">
        <v>60</v>
      </c>
      <c r="H20" s="461">
        <v>60</v>
      </c>
    </row>
    <row r="21" spans="1:8" x14ac:dyDescent="0.3">
      <c r="A21" s="292" t="s">
        <v>269</v>
      </c>
      <c r="B21" s="292" t="s">
        <v>265</v>
      </c>
      <c r="C21" s="293" t="s">
        <v>248</v>
      </c>
      <c r="D21" s="300">
        <f t="shared" ref="D21:E21" si="4">D14*D20/100</f>
        <v>13270.8</v>
      </c>
      <c r="E21" s="300">
        <f t="shared" si="4"/>
        <v>13934.497500000003</v>
      </c>
      <c r="F21" s="300">
        <f t="shared" ref="F21:H21" si="5">F14*F20/100</f>
        <v>14631.222375000003</v>
      </c>
      <c r="G21" s="300">
        <f t="shared" si="5"/>
        <v>15362.783493750003</v>
      </c>
      <c r="H21" s="300">
        <f t="shared" si="5"/>
        <v>16130.922668437501</v>
      </c>
    </row>
    <row r="22" spans="1:8" x14ac:dyDescent="0.3">
      <c r="A22" s="292" t="s">
        <v>270</v>
      </c>
      <c r="B22" s="295" t="s">
        <v>271</v>
      </c>
      <c r="C22" s="293"/>
      <c r="D22" s="294"/>
      <c r="E22" s="294"/>
      <c r="F22" s="294"/>
      <c r="G22" s="294"/>
      <c r="H22" s="294"/>
    </row>
    <row r="23" spans="1:8" x14ac:dyDescent="0.3">
      <c r="A23" s="292" t="s">
        <v>272</v>
      </c>
      <c r="B23" s="292" t="s">
        <v>540</v>
      </c>
      <c r="C23" s="293" t="s">
        <v>263</v>
      </c>
      <c r="D23" s="293">
        <v>5</v>
      </c>
      <c r="E23" s="455">
        <v>5</v>
      </c>
      <c r="F23" s="455">
        <v>5</v>
      </c>
      <c r="G23" s="455">
        <v>5</v>
      </c>
      <c r="H23" s="455">
        <v>5</v>
      </c>
    </row>
    <row r="24" spans="1:8" x14ac:dyDescent="0.3">
      <c r="A24" s="292" t="s">
        <v>273</v>
      </c>
      <c r="B24" s="292" t="s">
        <v>265</v>
      </c>
      <c r="C24" s="293" t="s">
        <v>248</v>
      </c>
      <c r="D24" s="300">
        <f t="shared" ref="D24:E24" si="6">D14*D23/100</f>
        <v>1105.9000000000001</v>
      </c>
      <c r="E24" s="300">
        <f t="shared" si="6"/>
        <v>1161.2081250000001</v>
      </c>
      <c r="F24" s="300">
        <f t="shared" ref="F24:H24" si="7">F14*F23/100</f>
        <v>1219.2685312500003</v>
      </c>
      <c r="G24" s="300">
        <f t="shared" si="7"/>
        <v>1280.2319578125002</v>
      </c>
      <c r="H24" s="300">
        <f t="shared" si="7"/>
        <v>1344.2435557031249</v>
      </c>
    </row>
    <row r="25" spans="1:8" x14ac:dyDescent="0.3">
      <c r="A25" s="292"/>
      <c r="B25" s="292" t="s">
        <v>274</v>
      </c>
      <c r="C25" s="293"/>
      <c r="D25" s="294"/>
      <c r="E25" s="294"/>
      <c r="F25" s="294"/>
      <c r="G25" s="294"/>
      <c r="H25" s="294"/>
    </row>
    <row r="26" spans="1:8" x14ac:dyDescent="0.3">
      <c r="A26" s="292"/>
      <c r="B26" s="292" t="s">
        <v>262</v>
      </c>
      <c r="C26" s="455" t="s">
        <v>263</v>
      </c>
      <c r="D26" s="293">
        <v>1</v>
      </c>
      <c r="E26" s="293">
        <v>1</v>
      </c>
      <c r="F26" s="293">
        <v>1</v>
      </c>
      <c r="G26" s="293">
        <v>1</v>
      </c>
      <c r="H26" s="293">
        <v>1</v>
      </c>
    </row>
    <row r="27" spans="1:8" x14ac:dyDescent="0.3">
      <c r="A27" s="292"/>
      <c r="B27" s="292" t="s">
        <v>541</v>
      </c>
      <c r="C27" s="455" t="s">
        <v>248</v>
      </c>
      <c r="D27" s="300">
        <f t="shared" ref="D27:E27" si="8">D14*D26/100</f>
        <v>221.18</v>
      </c>
      <c r="E27" s="300">
        <f t="shared" si="8"/>
        <v>232.24162500000003</v>
      </c>
      <c r="F27" s="300">
        <f t="shared" ref="F27:H27" si="9">F14*F26/100</f>
        <v>243.85370625000004</v>
      </c>
      <c r="G27" s="300">
        <f t="shared" si="9"/>
        <v>256.04639156250005</v>
      </c>
      <c r="H27" s="300">
        <f t="shared" si="9"/>
        <v>268.84871114062503</v>
      </c>
    </row>
    <row r="28" spans="1:8" x14ac:dyDescent="0.3">
      <c r="A28" s="292" t="s">
        <v>275</v>
      </c>
      <c r="B28" s="292" t="s">
        <v>276</v>
      </c>
      <c r="C28" s="293"/>
      <c r="D28" s="294"/>
      <c r="E28" s="294"/>
      <c r="F28" s="294"/>
      <c r="G28" s="294"/>
      <c r="H28" s="294"/>
    </row>
    <row r="29" spans="1:8" x14ac:dyDescent="0.3">
      <c r="A29" s="292" t="s">
        <v>277</v>
      </c>
      <c r="B29" s="292" t="s">
        <v>262</v>
      </c>
      <c r="C29" s="293" t="s">
        <v>263</v>
      </c>
      <c r="D29" s="461">
        <v>25</v>
      </c>
      <c r="E29" s="461">
        <v>25</v>
      </c>
      <c r="F29" s="461">
        <v>25</v>
      </c>
      <c r="G29" s="461">
        <v>25</v>
      </c>
      <c r="H29" s="461">
        <v>25</v>
      </c>
    </row>
    <row r="30" spans="1:8" x14ac:dyDescent="0.3">
      <c r="A30" s="292" t="s">
        <v>278</v>
      </c>
      <c r="B30" s="292" t="s">
        <v>265</v>
      </c>
      <c r="C30" s="293" t="s">
        <v>248</v>
      </c>
      <c r="D30" s="300">
        <f>D14*D29/100</f>
        <v>5529.5</v>
      </c>
      <c r="E30" s="300">
        <f>E14*E29/100</f>
        <v>5806.0406249999996</v>
      </c>
      <c r="F30" s="300">
        <f>F14*F29/100</f>
        <v>6096.3426562500008</v>
      </c>
      <c r="G30" s="300">
        <f t="shared" ref="G30:H30" si="10">G14*G29/100</f>
        <v>6401.1597890625007</v>
      </c>
      <c r="H30" s="300">
        <f t="shared" si="10"/>
        <v>6721.2177785156264</v>
      </c>
    </row>
    <row r="31" spans="1:8" x14ac:dyDescent="0.3">
      <c r="A31" s="292" t="s">
        <v>279</v>
      </c>
      <c r="B31" s="292" t="s">
        <v>280</v>
      </c>
      <c r="C31" s="293"/>
      <c r="D31" s="294"/>
      <c r="E31" s="294"/>
      <c r="F31" s="294"/>
      <c r="G31" s="294"/>
      <c r="H31" s="294"/>
    </row>
    <row r="32" spans="1:8" x14ac:dyDescent="0.3">
      <c r="A32" s="292" t="s">
        <v>281</v>
      </c>
      <c r="B32" s="292" t="s">
        <v>262</v>
      </c>
      <c r="C32" s="293" t="s">
        <v>263</v>
      </c>
      <c r="D32" s="293"/>
      <c r="E32" s="293"/>
      <c r="F32" s="293"/>
      <c r="G32" s="293"/>
      <c r="H32" s="293"/>
    </row>
    <row r="33" spans="1:8" x14ac:dyDescent="0.3">
      <c r="A33" s="292" t="s">
        <v>282</v>
      </c>
      <c r="B33" s="292" t="s">
        <v>265</v>
      </c>
      <c r="C33" s="293" t="s">
        <v>248</v>
      </c>
      <c r="D33" s="300"/>
      <c r="E33" s="300"/>
      <c r="F33" s="300"/>
      <c r="G33" s="300"/>
      <c r="H33" s="300"/>
    </row>
    <row r="34" spans="1:8" ht="27" x14ac:dyDescent="0.3">
      <c r="A34" s="292" t="s">
        <v>283</v>
      </c>
      <c r="B34" s="295" t="s">
        <v>284</v>
      </c>
      <c r="C34" s="293"/>
      <c r="D34" s="294"/>
      <c r="E34" s="294"/>
      <c r="F34" s="294"/>
      <c r="G34" s="294"/>
      <c r="H34" s="294"/>
    </row>
    <row r="35" spans="1:8" x14ac:dyDescent="0.3">
      <c r="A35" s="292" t="s">
        <v>285</v>
      </c>
      <c r="B35" s="292" t="s">
        <v>262</v>
      </c>
      <c r="C35" s="293" t="s">
        <v>263</v>
      </c>
      <c r="D35" s="293">
        <v>100</v>
      </c>
      <c r="E35" s="293">
        <v>100</v>
      </c>
      <c r="F35" s="293">
        <v>100</v>
      </c>
      <c r="G35" s="293">
        <v>100</v>
      </c>
      <c r="H35" s="293">
        <v>100</v>
      </c>
    </row>
    <row r="36" spans="1:8" x14ac:dyDescent="0.3">
      <c r="A36" s="301" t="s">
        <v>286</v>
      </c>
      <c r="B36" s="292" t="s">
        <v>265</v>
      </c>
      <c r="C36" s="293" t="s">
        <v>248</v>
      </c>
      <c r="D36" s="300">
        <f>(D14+D18+D21+D30+D33+D27+D24)*D35/100</f>
        <v>42245.38</v>
      </c>
      <c r="E36" s="300">
        <f>(E14+E18+E21+E30+E33+E27+E24)*E35/100</f>
        <v>44358.150375000005</v>
      </c>
      <c r="F36" s="300">
        <f>(F14+F18+F21+F30+F33+F27+F24)*F35/100</f>
        <v>46576.057893750018</v>
      </c>
      <c r="G36" s="300">
        <f t="shared" ref="G36:H36" si="11">(G14+G18+G21+G30+G33+G27+G24)*G35/100</f>
        <v>48904.860788437509</v>
      </c>
      <c r="H36" s="300">
        <f t="shared" si="11"/>
        <v>51350.103827859384</v>
      </c>
    </row>
    <row r="37" spans="1:8" x14ac:dyDescent="0.3">
      <c r="A37" s="292" t="s">
        <v>287</v>
      </c>
      <c r="B37" s="292" t="s">
        <v>288</v>
      </c>
      <c r="C37" s="293" t="s">
        <v>248</v>
      </c>
      <c r="D37" s="302">
        <f>D14+D18+D21+D24+D27+D30+D33+D36</f>
        <v>84490.760000000009</v>
      </c>
      <c r="E37" s="302">
        <f>E14+E18+E21+E24+E27+E30+E33+E36</f>
        <v>88716.300750000009</v>
      </c>
      <c r="F37" s="302">
        <f>F14+F18+F21+F24+F27+F30+F33+F36</f>
        <v>93152.115787500035</v>
      </c>
      <c r="G37" s="302">
        <f t="shared" ref="G37:H37" si="12">G14+G18+G21+G24+G27+G30+G33+G36</f>
        <v>97809.721576875017</v>
      </c>
      <c r="H37" s="302">
        <f t="shared" si="12"/>
        <v>102700.20765571877</v>
      </c>
    </row>
    <row r="38" spans="1:8" x14ac:dyDescent="0.3">
      <c r="A38" s="717" t="s">
        <v>289</v>
      </c>
      <c r="B38" s="718" t="s">
        <v>290</v>
      </c>
      <c r="C38" s="719"/>
      <c r="D38" s="294"/>
      <c r="E38" s="294"/>
      <c r="F38" s="294"/>
      <c r="G38" s="294"/>
      <c r="H38" s="294"/>
    </row>
    <row r="39" spans="1:8" x14ac:dyDescent="0.3">
      <c r="A39" s="717"/>
      <c r="B39" s="718"/>
      <c r="C39" s="719"/>
      <c r="D39" s="294"/>
      <c r="E39" s="294"/>
      <c r="F39" s="294"/>
      <c r="G39" s="294"/>
      <c r="H39" s="294"/>
    </row>
    <row r="40" spans="1:8" x14ac:dyDescent="0.3">
      <c r="A40" s="292" t="s">
        <v>291</v>
      </c>
      <c r="B40" s="292" t="s">
        <v>444</v>
      </c>
      <c r="C40" s="293" t="s">
        <v>292</v>
      </c>
      <c r="D40" s="293">
        <v>512.70000000000005</v>
      </c>
      <c r="E40" s="455">
        <v>512.70000000000005</v>
      </c>
      <c r="F40" s="455">
        <v>512.70000000000005</v>
      </c>
      <c r="G40" s="455">
        <v>512.70000000000005</v>
      </c>
      <c r="H40" s="455">
        <v>512.70000000000005</v>
      </c>
    </row>
    <row r="41" spans="1:8" x14ac:dyDescent="0.3">
      <c r="A41" s="292" t="s">
        <v>293</v>
      </c>
      <c r="B41" s="292"/>
      <c r="C41" s="293" t="s">
        <v>292</v>
      </c>
      <c r="D41" s="293"/>
      <c r="E41" s="293"/>
      <c r="F41" s="293"/>
      <c r="G41" s="293"/>
      <c r="H41" s="293"/>
    </row>
    <row r="42" spans="1:8" x14ac:dyDescent="0.3">
      <c r="A42" s="303" t="s">
        <v>294</v>
      </c>
      <c r="B42" s="304" t="s">
        <v>295</v>
      </c>
      <c r="C42" s="293" t="s">
        <v>292</v>
      </c>
      <c r="D42" s="305">
        <f>D37*D6*12/1000+D40</f>
        <v>112040.50320000002</v>
      </c>
      <c r="E42" s="305">
        <f>E37*E6*12/1000+E40</f>
        <v>117618.21699</v>
      </c>
      <c r="F42" s="305">
        <f>F37*F6*12/1000+F40</f>
        <v>123473.49283950005</v>
      </c>
      <c r="G42" s="305">
        <f t="shared" ref="G42:H42" si="13">G37*G6*12/1000+G40</f>
        <v>129621.53248147502</v>
      </c>
      <c r="H42" s="305">
        <f t="shared" si="13"/>
        <v>136076.97410554878</v>
      </c>
    </row>
    <row r="43" spans="1:8" ht="27" x14ac:dyDescent="0.3">
      <c r="A43" s="303"/>
      <c r="B43" s="295" t="s">
        <v>296</v>
      </c>
      <c r="C43" s="293"/>
      <c r="D43" s="306">
        <f>D42/D6/12*1000</f>
        <v>84879.169090909112</v>
      </c>
      <c r="E43" s="306">
        <f>E42/E6/12*1000</f>
        <v>89104.709840909098</v>
      </c>
      <c r="F43" s="306">
        <f>F42/F6/12*1000</f>
        <v>93540.524878409124</v>
      </c>
      <c r="G43" s="306">
        <f t="shared" ref="G43:H43" si="14">G42/G6/12*1000</f>
        <v>98198.130667784106</v>
      </c>
      <c r="H43" s="306">
        <f t="shared" si="14"/>
        <v>103088.61674662786</v>
      </c>
    </row>
    <row r="44" spans="1:8" x14ac:dyDescent="0.3">
      <c r="A44" s="307"/>
      <c r="B44" s="308"/>
      <c r="C44" s="307"/>
      <c r="D44" s="294"/>
      <c r="E44" s="294"/>
      <c r="F44" s="294"/>
      <c r="G44" s="294"/>
      <c r="H44" s="294"/>
    </row>
    <row r="45" spans="1:8" x14ac:dyDescent="0.3">
      <c r="A45" s="250"/>
      <c r="B45" s="292" t="s">
        <v>428</v>
      </c>
      <c r="C45" s="202" t="s">
        <v>248</v>
      </c>
      <c r="D45" s="294"/>
      <c r="E45" s="294"/>
      <c r="F45" s="294"/>
      <c r="G45" s="294"/>
      <c r="H45" s="294"/>
    </row>
    <row r="46" spans="1:8" x14ac:dyDescent="0.3">
      <c r="A46" s="309"/>
      <c r="B46" s="310" t="s">
        <v>297</v>
      </c>
      <c r="C46" s="291" t="s">
        <v>263</v>
      </c>
      <c r="D46" s="298"/>
      <c r="E46" s="298"/>
      <c r="F46" s="298"/>
      <c r="G46" s="298"/>
      <c r="H46" s="298"/>
    </row>
    <row r="47" spans="1:8" x14ac:dyDescent="0.3">
      <c r="B47" s="311"/>
    </row>
    <row r="48" spans="1:8" x14ac:dyDescent="0.3">
      <c r="B48" s="251" t="s">
        <v>437</v>
      </c>
    </row>
    <row r="49" spans="1:4" ht="27" customHeight="1" x14ac:dyDescent="0.3">
      <c r="A49" s="720" t="s">
        <v>436</v>
      </c>
      <c r="B49" s="720"/>
      <c r="C49" s="720"/>
      <c r="D49" s="720"/>
    </row>
    <row r="50" spans="1:4" ht="15" customHeight="1" x14ac:dyDescent="0.3">
      <c r="A50" s="251" t="s">
        <v>466</v>
      </c>
      <c r="C50" s="312"/>
      <c r="D50" s="312"/>
    </row>
    <row r="51" spans="1:4" ht="15" customHeight="1" x14ac:dyDescent="0.3">
      <c r="A51" s="312"/>
      <c r="B51" s="312"/>
      <c r="C51" s="312"/>
      <c r="D51" s="312"/>
    </row>
  </sheetData>
  <mergeCells count="10">
    <mergeCell ref="A1:C2"/>
    <mergeCell ref="A12:A13"/>
    <mergeCell ref="B12:B13"/>
    <mergeCell ref="C12:C13"/>
    <mergeCell ref="A49:D49"/>
    <mergeCell ref="A38:A39"/>
    <mergeCell ref="B38:B39"/>
    <mergeCell ref="C38:C39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6"/>
  <sheetViews>
    <sheetView workbookViewId="0">
      <selection activeCell="C37" sqref="C37:G37"/>
    </sheetView>
  </sheetViews>
  <sheetFormatPr defaultRowHeight="14.4" x14ac:dyDescent="0.3"/>
  <cols>
    <col min="1" max="1" width="4.21875" customWidth="1"/>
    <col min="2" max="2" width="37.44140625" customWidth="1"/>
    <col min="3" max="3" width="9.33203125" customWidth="1"/>
    <col min="4" max="7" width="9.109375" customWidth="1"/>
  </cols>
  <sheetData>
    <row r="1" spans="1:7" x14ac:dyDescent="0.3">
      <c r="F1" t="s">
        <v>434</v>
      </c>
    </row>
    <row r="2" spans="1:7" ht="16.2" customHeight="1" x14ac:dyDescent="0.3">
      <c r="A2" s="721" t="s">
        <v>365</v>
      </c>
      <c r="B2" s="721"/>
      <c r="C2" s="721"/>
      <c r="D2" s="721"/>
      <c r="E2" s="721"/>
      <c r="F2" s="721"/>
      <c r="G2" s="721"/>
    </row>
    <row r="3" spans="1:7" ht="19.8" customHeight="1" x14ac:dyDescent="0.3">
      <c r="A3" s="721" t="s">
        <v>427</v>
      </c>
      <c r="B3" s="721"/>
      <c r="C3" s="721"/>
      <c r="D3" s="721"/>
      <c r="E3" s="721"/>
      <c r="F3" s="721"/>
      <c r="G3" s="721"/>
    </row>
    <row r="4" spans="1:7" x14ac:dyDescent="0.3">
      <c r="A4" s="11"/>
      <c r="B4" s="55"/>
      <c r="C4" t="s">
        <v>292</v>
      </c>
    </row>
    <row r="5" spans="1:7" ht="24.75" customHeight="1" x14ac:dyDescent="0.3">
      <c r="A5" s="56" t="s">
        <v>150</v>
      </c>
      <c r="B5" s="87" t="s">
        <v>74</v>
      </c>
      <c r="C5" s="88" t="s">
        <v>908</v>
      </c>
      <c r="D5" s="87" t="s">
        <v>909</v>
      </c>
      <c r="E5" s="87" t="s">
        <v>910</v>
      </c>
      <c r="F5" s="87" t="s">
        <v>911</v>
      </c>
      <c r="G5" s="87" t="s">
        <v>912</v>
      </c>
    </row>
    <row r="6" spans="1:7" x14ac:dyDescent="0.3">
      <c r="A6" s="56"/>
      <c r="B6" s="87"/>
      <c r="C6" s="88"/>
      <c r="D6" s="8"/>
      <c r="E6" s="8"/>
      <c r="F6" s="8"/>
      <c r="G6" s="8"/>
    </row>
    <row r="7" spans="1:7" x14ac:dyDescent="0.3">
      <c r="A7" s="56">
        <v>1</v>
      </c>
      <c r="B7" s="56">
        <v>2</v>
      </c>
      <c r="C7" s="57"/>
      <c r="D7" s="8"/>
      <c r="E7" s="8"/>
      <c r="F7" s="8"/>
      <c r="G7" s="8"/>
    </row>
    <row r="8" spans="1:7" x14ac:dyDescent="0.3">
      <c r="A8" s="58" t="s">
        <v>17</v>
      </c>
      <c r="B8" s="56" t="s">
        <v>366</v>
      </c>
      <c r="C8" s="59">
        <f>C12+C11+C10</f>
        <v>0</v>
      </c>
      <c r="D8" s="59">
        <f t="shared" ref="D8:G8" si="0">D12+D11+D10</f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3">
      <c r="A9" s="58"/>
      <c r="B9" s="58" t="s">
        <v>367</v>
      </c>
      <c r="C9" s="60"/>
      <c r="D9" s="8"/>
      <c r="E9" s="8"/>
      <c r="F9" s="8"/>
      <c r="G9" s="8"/>
    </row>
    <row r="10" spans="1:7" x14ac:dyDescent="0.3">
      <c r="A10" s="58"/>
      <c r="B10" s="58" t="s">
        <v>575</v>
      </c>
      <c r="C10" s="62"/>
      <c r="D10" s="8"/>
      <c r="E10" s="8"/>
      <c r="F10" s="8"/>
      <c r="G10" s="8"/>
    </row>
    <row r="11" spans="1:7" x14ac:dyDescent="0.3">
      <c r="A11" s="58"/>
      <c r="B11" s="58" t="s">
        <v>569</v>
      </c>
      <c r="C11" s="62"/>
      <c r="D11" s="8"/>
      <c r="E11" s="8"/>
      <c r="F11" s="8"/>
      <c r="G11" s="8"/>
    </row>
    <row r="12" spans="1:7" x14ac:dyDescent="0.3">
      <c r="A12" s="58"/>
      <c r="B12" s="57" t="s">
        <v>570</v>
      </c>
      <c r="C12" s="284"/>
      <c r="D12" s="284"/>
      <c r="E12" s="284"/>
      <c r="F12" s="284"/>
      <c r="G12" s="284"/>
    </row>
    <row r="13" spans="1:7" x14ac:dyDescent="0.3">
      <c r="A13" s="58" t="s">
        <v>19</v>
      </c>
      <c r="B13" s="87" t="s">
        <v>368</v>
      </c>
      <c r="C13" s="59">
        <f>C16+C17+C18+C21+C19+C20+C22+C24+C23+C15</f>
        <v>0</v>
      </c>
      <c r="D13" s="59">
        <f t="shared" ref="D13:G13" si="1">D16+D17+D18+D21+D19+D20+D22+D24+D23+D15</f>
        <v>0</v>
      </c>
      <c r="E13" s="59">
        <f t="shared" si="1"/>
        <v>0</v>
      </c>
      <c r="F13" s="59">
        <f t="shared" si="1"/>
        <v>0</v>
      </c>
      <c r="G13" s="59">
        <f t="shared" si="1"/>
        <v>0</v>
      </c>
    </row>
    <row r="14" spans="1:7" x14ac:dyDescent="0.3">
      <c r="A14" s="58"/>
      <c r="B14" s="57" t="s">
        <v>367</v>
      </c>
      <c r="C14" s="62"/>
      <c r="D14" s="8"/>
      <c r="E14" s="8"/>
      <c r="F14" s="8"/>
      <c r="G14" s="8"/>
    </row>
    <row r="15" spans="1:7" x14ac:dyDescent="0.3">
      <c r="A15" s="58"/>
      <c r="B15" s="57" t="s">
        <v>573</v>
      </c>
      <c r="C15" s="62"/>
      <c r="D15" s="8"/>
      <c r="E15" s="8"/>
      <c r="F15" s="8"/>
      <c r="G15" s="8"/>
    </row>
    <row r="16" spans="1:7" x14ac:dyDescent="0.3">
      <c r="A16" s="58"/>
      <c r="B16" s="57" t="s">
        <v>370</v>
      </c>
      <c r="C16" s="62"/>
      <c r="D16" s="8"/>
      <c r="E16" s="8"/>
      <c r="F16" s="8"/>
      <c r="G16" s="8"/>
    </row>
    <row r="17" spans="1:7" x14ac:dyDescent="0.3">
      <c r="A17" s="58"/>
      <c r="B17" s="57" t="s">
        <v>371</v>
      </c>
      <c r="C17" s="62"/>
      <c r="D17" s="8"/>
      <c r="E17" s="8"/>
      <c r="F17" s="8"/>
      <c r="G17" s="8"/>
    </row>
    <row r="18" spans="1:7" x14ac:dyDescent="0.3">
      <c r="A18" s="58"/>
      <c r="B18" s="57" t="s">
        <v>435</v>
      </c>
      <c r="C18" s="62"/>
      <c r="D18" s="62"/>
      <c r="E18" s="62"/>
      <c r="F18" s="62"/>
      <c r="G18" s="62"/>
    </row>
    <row r="19" spans="1:7" x14ac:dyDescent="0.3">
      <c r="A19" s="58"/>
      <c r="B19" s="57" t="s">
        <v>369</v>
      </c>
      <c r="C19" s="62"/>
      <c r="D19" s="62"/>
      <c r="E19" s="62"/>
      <c r="F19" s="62"/>
      <c r="G19" s="62"/>
    </row>
    <row r="20" spans="1:7" ht="20.399999999999999" x14ac:dyDescent="0.3">
      <c r="A20" s="58"/>
      <c r="B20" s="57" t="s">
        <v>372</v>
      </c>
      <c r="C20" s="62"/>
      <c r="D20" s="8"/>
      <c r="E20" s="8"/>
      <c r="F20" s="8"/>
      <c r="G20" s="8"/>
    </row>
    <row r="21" spans="1:7" x14ac:dyDescent="0.3">
      <c r="A21" s="58"/>
      <c r="B21" s="58" t="s">
        <v>373</v>
      </c>
      <c r="C21" s="62"/>
      <c r="D21" s="8"/>
      <c r="E21" s="8"/>
      <c r="F21" s="8"/>
      <c r="G21" s="8"/>
    </row>
    <row r="22" spans="1:7" x14ac:dyDescent="0.3">
      <c r="A22" s="58"/>
      <c r="B22" s="58" t="s">
        <v>374</v>
      </c>
      <c r="C22" s="60"/>
      <c r="D22" s="8"/>
      <c r="E22" s="8"/>
      <c r="F22" s="8"/>
      <c r="G22" s="8"/>
    </row>
    <row r="23" spans="1:7" ht="20.399999999999999" x14ac:dyDescent="0.3">
      <c r="A23" s="58"/>
      <c r="B23" s="58" t="s">
        <v>571</v>
      </c>
      <c r="C23" s="62"/>
      <c r="D23" s="62"/>
      <c r="E23" s="62"/>
      <c r="F23" s="62"/>
      <c r="G23" s="62"/>
    </row>
    <row r="24" spans="1:7" ht="21" customHeight="1" x14ac:dyDescent="0.3">
      <c r="A24" s="58"/>
      <c r="B24" s="58" t="s">
        <v>728</v>
      </c>
      <c r="C24" s="60"/>
      <c r="D24" s="60"/>
      <c r="E24" s="60"/>
      <c r="F24" s="60"/>
      <c r="G24" s="60"/>
    </row>
    <row r="25" spans="1:7" x14ac:dyDescent="0.3">
      <c r="A25" s="58" t="s">
        <v>21</v>
      </c>
      <c r="B25" s="56" t="s">
        <v>375</v>
      </c>
      <c r="C25" s="61">
        <f t="shared" ref="C25:G25" si="2">C29+C30+C31+C27+C28+C26</f>
        <v>310</v>
      </c>
      <c r="D25" s="61">
        <f t="shared" si="2"/>
        <v>310</v>
      </c>
      <c r="E25" s="61">
        <f t="shared" si="2"/>
        <v>310</v>
      </c>
      <c r="F25" s="61">
        <f t="shared" si="2"/>
        <v>310</v>
      </c>
      <c r="G25" s="61">
        <f t="shared" si="2"/>
        <v>310</v>
      </c>
    </row>
    <row r="26" spans="1:7" x14ac:dyDescent="0.3">
      <c r="A26" s="58"/>
      <c r="B26" s="58" t="s">
        <v>376</v>
      </c>
      <c r="C26" s="63"/>
      <c r="D26" s="63"/>
      <c r="E26" s="63"/>
      <c r="F26" s="63"/>
      <c r="G26" s="63"/>
    </row>
    <row r="27" spans="1:7" x14ac:dyDescent="0.3">
      <c r="A27" s="58"/>
      <c r="B27" s="58" t="s">
        <v>377</v>
      </c>
      <c r="C27" s="63">
        <v>220</v>
      </c>
      <c r="D27" s="63">
        <v>220</v>
      </c>
      <c r="E27" s="63">
        <v>220</v>
      </c>
      <c r="F27" s="63">
        <v>220</v>
      </c>
      <c r="G27" s="63">
        <v>220</v>
      </c>
    </row>
    <row r="28" spans="1:7" x14ac:dyDescent="0.3">
      <c r="A28" s="58"/>
      <c r="B28" s="58" t="s">
        <v>574</v>
      </c>
      <c r="C28" s="63">
        <v>30</v>
      </c>
      <c r="D28" s="63">
        <v>30</v>
      </c>
      <c r="E28" s="63">
        <v>30</v>
      </c>
      <c r="F28" s="63">
        <v>30</v>
      </c>
      <c r="G28" s="63">
        <v>30</v>
      </c>
    </row>
    <row r="29" spans="1:7" x14ac:dyDescent="0.3">
      <c r="A29" s="58"/>
      <c r="B29" s="58" t="s">
        <v>378</v>
      </c>
      <c r="C29" s="63"/>
      <c r="D29" s="63"/>
      <c r="E29" s="63"/>
      <c r="F29" s="63"/>
      <c r="G29" s="63"/>
    </row>
    <row r="30" spans="1:7" x14ac:dyDescent="0.3">
      <c r="A30" s="58"/>
      <c r="B30" s="58" t="s">
        <v>379</v>
      </c>
      <c r="C30" s="63">
        <v>30</v>
      </c>
      <c r="D30" s="63">
        <v>30</v>
      </c>
      <c r="E30" s="63">
        <v>30</v>
      </c>
      <c r="F30" s="63">
        <v>30</v>
      </c>
      <c r="G30" s="63">
        <v>30</v>
      </c>
    </row>
    <row r="31" spans="1:7" x14ac:dyDescent="0.3">
      <c r="A31" s="58"/>
      <c r="B31" s="58" t="s">
        <v>380</v>
      </c>
      <c r="C31" s="63">
        <v>30</v>
      </c>
      <c r="D31" s="63">
        <v>30</v>
      </c>
      <c r="E31" s="63">
        <v>30</v>
      </c>
      <c r="F31" s="63">
        <v>30</v>
      </c>
      <c r="G31" s="63">
        <v>30</v>
      </c>
    </row>
    <row r="32" spans="1:7" x14ac:dyDescent="0.3">
      <c r="A32" s="58" t="s">
        <v>169</v>
      </c>
      <c r="B32" s="56" t="s">
        <v>381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</row>
    <row r="33" spans="1:7" x14ac:dyDescent="0.3">
      <c r="A33" s="58" t="s">
        <v>234</v>
      </c>
      <c r="B33" s="56" t="s">
        <v>382</v>
      </c>
      <c r="C33" s="64">
        <f>C37</f>
        <v>1530</v>
      </c>
      <c r="D33" s="64">
        <f t="shared" ref="D33:G33" si="3">D37</f>
        <v>1606.5</v>
      </c>
      <c r="E33" s="503">
        <f t="shared" si="3"/>
        <v>1686.825</v>
      </c>
      <c r="F33" s="503">
        <f t="shared" si="3"/>
        <v>1771.1662500000002</v>
      </c>
      <c r="G33" s="503">
        <f t="shared" si="3"/>
        <v>1859.7245625000003</v>
      </c>
    </row>
    <row r="34" spans="1:7" x14ac:dyDescent="0.3">
      <c r="A34" s="58"/>
      <c r="B34" s="58" t="s">
        <v>383</v>
      </c>
      <c r="C34" s="65"/>
      <c r="D34" s="65"/>
      <c r="E34" s="65"/>
      <c r="F34" s="65"/>
      <c r="G34" s="65"/>
    </row>
    <row r="35" spans="1:7" x14ac:dyDescent="0.3">
      <c r="A35" s="58"/>
      <c r="B35" s="58" t="s">
        <v>384</v>
      </c>
      <c r="C35" s="60"/>
      <c r="D35" s="60"/>
      <c r="E35" s="60"/>
      <c r="F35" s="60"/>
      <c r="G35" s="60"/>
    </row>
    <row r="36" spans="1:7" x14ac:dyDescent="0.3">
      <c r="A36" s="58"/>
      <c r="B36" s="58" t="s">
        <v>385</v>
      </c>
      <c r="C36" s="60"/>
      <c r="D36" s="60"/>
      <c r="E36" s="60"/>
      <c r="F36" s="60"/>
      <c r="G36" s="60"/>
    </row>
    <row r="37" spans="1:7" x14ac:dyDescent="0.3">
      <c r="A37" s="58"/>
      <c r="B37" s="58" t="s">
        <v>363</v>
      </c>
      <c r="C37" s="500">
        <v>1530</v>
      </c>
      <c r="D37" s="500">
        <f>C37*1.05</f>
        <v>1606.5</v>
      </c>
      <c r="E37" s="500">
        <f t="shared" ref="E37:G37" si="4">D37*1.05</f>
        <v>1686.825</v>
      </c>
      <c r="F37" s="500">
        <f t="shared" si="4"/>
        <v>1771.1662500000002</v>
      </c>
      <c r="G37" s="500">
        <f t="shared" si="4"/>
        <v>1859.7245625000003</v>
      </c>
    </row>
    <row r="38" spans="1:7" x14ac:dyDescent="0.3">
      <c r="A38" s="58"/>
      <c r="B38" s="58" t="s">
        <v>384</v>
      </c>
      <c r="C38" s="62"/>
      <c r="D38" s="62"/>
      <c r="E38" s="62"/>
      <c r="F38" s="62"/>
      <c r="G38" s="62"/>
    </row>
    <row r="39" spans="1:7" x14ac:dyDescent="0.3">
      <c r="A39" s="58"/>
      <c r="B39" s="58" t="s">
        <v>386</v>
      </c>
      <c r="C39" s="62"/>
      <c r="D39" s="62"/>
      <c r="E39" s="62"/>
      <c r="F39" s="62"/>
      <c r="G39" s="62"/>
    </row>
    <row r="40" spans="1:7" x14ac:dyDescent="0.3">
      <c r="A40" s="58"/>
      <c r="B40" s="58" t="s">
        <v>387</v>
      </c>
      <c r="C40" s="62"/>
      <c r="D40" s="62"/>
      <c r="E40" s="62"/>
      <c r="F40" s="62"/>
      <c r="G40" s="62"/>
    </row>
    <row r="41" spans="1:7" x14ac:dyDescent="0.3">
      <c r="A41" s="58" t="s">
        <v>388</v>
      </c>
      <c r="B41" s="58" t="s">
        <v>389</v>
      </c>
      <c r="C41" s="502">
        <f>C8+C13+C25+C33</f>
        <v>1840</v>
      </c>
      <c r="D41" s="502">
        <f>D8+D13+D25+D33</f>
        <v>1916.5</v>
      </c>
      <c r="E41" s="502">
        <f t="shared" ref="E41:G41" si="5">E8+E13+E25+E33</f>
        <v>1996.825</v>
      </c>
      <c r="F41" s="502">
        <f t="shared" si="5"/>
        <v>2081.1662500000002</v>
      </c>
      <c r="G41" s="502">
        <f t="shared" si="5"/>
        <v>2169.7245625000005</v>
      </c>
    </row>
    <row r="42" spans="1:7" x14ac:dyDescent="0.3">
      <c r="A42" s="58" t="s">
        <v>23</v>
      </c>
      <c r="B42" s="58" t="s">
        <v>390</v>
      </c>
      <c r="C42" s="66">
        <f>C43</f>
        <v>368</v>
      </c>
      <c r="D42" s="66">
        <f t="shared" ref="D42:G42" si="6">D43</f>
        <v>383.3</v>
      </c>
      <c r="E42" s="66">
        <f t="shared" si="6"/>
        <v>399.36500000000001</v>
      </c>
      <c r="F42" s="66">
        <f t="shared" si="6"/>
        <v>416.23325000000006</v>
      </c>
      <c r="G42" s="66">
        <f t="shared" si="6"/>
        <v>433.9449125000001</v>
      </c>
    </row>
    <row r="43" spans="1:7" x14ac:dyDescent="0.3">
      <c r="A43" s="58"/>
      <c r="B43" s="58" t="s">
        <v>391</v>
      </c>
      <c r="C43" s="203">
        <f>C41*20%</f>
        <v>368</v>
      </c>
      <c r="D43" s="203">
        <f t="shared" ref="D43:G43" si="7">D41*20%</f>
        <v>383.3</v>
      </c>
      <c r="E43" s="203">
        <f t="shared" si="7"/>
        <v>399.36500000000001</v>
      </c>
      <c r="F43" s="203">
        <f t="shared" si="7"/>
        <v>416.23325000000006</v>
      </c>
      <c r="G43" s="203">
        <f t="shared" si="7"/>
        <v>433.9449125000001</v>
      </c>
    </row>
    <row r="44" spans="1:7" x14ac:dyDescent="0.3">
      <c r="A44" s="58" t="s">
        <v>237</v>
      </c>
      <c r="B44" s="56" t="s">
        <v>392</v>
      </c>
      <c r="C44" s="67">
        <f>C41+C42</f>
        <v>2208</v>
      </c>
      <c r="D44" s="67">
        <f t="shared" ref="D44:G44" si="8">D41+D42</f>
        <v>2299.8000000000002</v>
      </c>
      <c r="E44" s="67">
        <f t="shared" si="8"/>
        <v>2396.19</v>
      </c>
      <c r="F44" s="67">
        <f t="shared" si="8"/>
        <v>2497.3995000000004</v>
      </c>
      <c r="G44" s="67">
        <f t="shared" si="8"/>
        <v>2603.6694750000006</v>
      </c>
    </row>
    <row r="45" spans="1:7" x14ac:dyDescent="0.3">
      <c r="B45" s="68"/>
    </row>
    <row r="46" spans="1:7" x14ac:dyDescent="0.3">
      <c r="A46" s="9" t="s">
        <v>466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8"/>
  <sheetViews>
    <sheetView topLeftCell="A10" workbookViewId="0">
      <selection activeCell="H28" sqref="H28"/>
    </sheetView>
  </sheetViews>
  <sheetFormatPr defaultRowHeight="14.4" x14ac:dyDescent="0.3"/>
  <cols>
    <col min="1" max="1" width="7" customWidth="1"/>
    <col min="2" max="2" width="24.44140625" customWidth="1"/>
    <col min="3" max="4" width="10.21875" customWidth="1"/>
  </cols>
  <sheetData>
    <row r="1" spans="1:8" x14ac:dyDescent="0.3">
      <c r="A1" s="9"/>
      <c r="B1" s="9"/>
      <c r="C1" s="9"/>
      <c r="D1" s="9"/>
    </row>
    <row r="2" spans="1:8" ht="24" customHeight="1" x14ac:dyDescent="0.3">
      <c r="A2" s="722" t="s">
        <v>433</v>
      </c>
      <c r="B2" s="722"/>
      <c r="C2" s="722"/>
      <c r="D2" s="9" t="s">
        <v>577</v>
      </c>
    </row>
    <row r="3" spans="1:8" x14ac:dyDescent="0.3">
      <c r="A3" s="723" t="s">
        <v>150</v>
      </c>
      <c r="B3" s="724"/>
      <c r="C3" s="725" t="s">
        <v>393</v>
      </c>
      <c r="D3" s="113" t="s">
        <v>858</v>
      </c>
      <c r="E3" s="286" t="s">
        <v>867</v>
      </c>
      <c r="F3" s="286" t="s">
        <v>868</v>
      </c>
      <c r="G3" s="286" t="s">
        <v>869</v>
      </c>
      <c r="H3" s="286" t="s">
        <v>870</v>
      </c>
    </row>
    <row r="4" spans="1:8" ht="15" customHeight="1" x14ac:dyDescent="0.3">
      <c r="A4" s="723"/>
      <c r="B4" s="724"/>
      <c r="C4" s="726"/>
      <c r="D4" s="285" t="s">
        <v>394</v>
      </c>
      <c r="E4" s="285" t="s">
        <v>394</v>
      </c>
      <c r="F4" s="285" t="s">
        <v>394</v>
      </c>
      <c r="G4" s="285" t="s">
        <v>394</v>
      </c>
      <c r="H4" s="285" t="s">
        <v>394</v>
      </c>
    </row>
    <row r="5" spans="1:8" x14ac:dyDescent="0.3">
      <c r="A5" s="69">
        <v>1</v>
      </c>
      <c r="B5" s="69">
        <v>2</v>
      </c>
      <c r="C5" s="70">
        <f>+B5+1</f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</row>
    <row r="6" spans="1:8" ht="35.25" customHeight="1" x14ac:dyDescent="0.3">
      <c r="A6" s="69" t="s">
        <v>17</v>
      </c>
      <c r="B6" s="114" t="s">
        <v>395</v>
      </c>
      <c r="C6" s="69" t="s">
        <v>396</v>
      </c>
      <c r="D6" s="115">
        <f>'1.15'!C49</f>
        <v>190875.17199999999</v>
      </c>
      <c r="E6" s="115">
        <f>'1.15'!D49</f>
        <v>200243.20560000002</v>
      </c>
      <c r="F6" s="115">
        <f>'1.15'!E49</f>
        <v>209979.46688000002</v>
      </c>
      <c r="G6" s="115">
        <f>'1.15'!F49</f>
        <v>225017.33672400005</v>
      </c>
      <c r="H6" s="115">
        <f>'1.15'!G49</f>
        <v>232522.17106020005</v>
      </c>
    </row>
    <row r="7" spans="1:8" ht="18" customHeight="1" x14ac:dyDescent="0.3">
      <c r="A7" s="69" t="s">
        <v>158</v>
      </c>
      <c r="B7" s="114" t="s">
        <v>111</v>
      </c>
      <c r="C7" s="69" t="s">
        <v>396</v>
      </c>
      <c r="D7" s="116"/>
      <c r="E7" s="8"/>
      <c r="F7" s="8"/>
      <c r="G7" s="8"/>
      <c r="H7" s="8"/>
    </row>
    <row r="8" spans="1:8" x14ac:dyDescent="0.3">
      <c r="A8" s="69" t="s">
        <v>159</v>
      </c>
      <c r="B8" s="114" t="s">
        <v>397</v>
      </c>
      <c r="C8" s="69"/>
      <c r="D8" s="117"/>
      <c r="E8" s="8"/>
      <c r="F8" s="8"/>
      <c r="G8" s="8"/>
      <c r="H8" s="8"/>
    </row>
    <row r="9" spans="1:8" x14ac:dyDescent="0.3">
      <c r="A9" s="69"/>
      <c r="B9" s="114" t="s">
        <v>398</v>
      </c>
      <c r="C9" s="69"/>
      <c r="D9" s="117"/>
      <c r="E9" s="8"/>
      <c r="F9" s="8"/>
      <c r="G9" s="8"/>
      <c r="H9" s="8"/>
    </row>
    <row r="10" spans="1:8" x14ac:dyDescent="0.3">
      <c r="A10" s="69"/>
      <c r="B10" s="114" t="s">
        <v>399</v>
      </c>
      <c r="C10" s="69"/>
      <c r="D10" s="116"/>
      <c r="E10" s="8"/>
      <c r="F10" s="8"/>
      <c r="G10" s="8"/>
      <c r="H10" s="8"/>
    </row>
    <row r="11" spans="1:8" x14ac:dyDescent="0.3">
      <c r="A11" s="69" t="s">
        <v>163</v>
      </c>
      <c r="B11" s="114" t="s">
        <v>114</v>
      </c>
      <c r="C11" s="69"/>
      <c r="D11" s="116"/>
      <c r="E11" s="8"/>
      <c r="F11" s="8"/>
      <c r="G11" s="8"/>
      <c r="H11" s="8"/>
    </row>
    <row r="12" spans="1:8" ht="36.75" customHeight="1" x14ac:dyDescent="0.3">
      <c r="A12" s="69" t="s">
        <v>19</v>
      </c>
      <c r="B12" s="114" t="s">
        <v>400</v>
      </c>
      <c r="C12" s="69" t="s">
        <v>396</v>
      </c>
      <c r="D12" s="348">
        <f>'1.21'!C44</f>
        <v>2208</v>
      </c>
      <c r="E12" s="348">
        <f>'1.21'!D44</f>
        <v>2299.8000000000002</v>
      </c>
      <c r="F12" s="348">
        <f>'1.21'!E44</f>
        <v>2396.19</v>
      </c>
      <c r="G12" s="348">
        <f>'1.21'!F44</f>
        <v>2497.3995000000004</v>
      </c>
      <c r="H12" s="348">
        <f>'1.21'!G44</f>
        <v>2603.6694750000006</v>
      </c>
    </row>
    <row r="13" spans="1:8" ht="18.75" customHeight="1" x14ac:dyDescent="0.3">
      <c r="A13" s="69" t="s">
        <v>21</v>
      </c>
      <c r="B13" s="114" t="s">
        <v>401</v>
      </c>
      <c r="C13" s="69" t="s">
        <v>263</v>
      </c>
      <c r="D13" s="118">
        <f>D12/D6</f>
        <v>1.1567769536836357E-2</v>
      </c>
      <c r="E13" s="118">
        <f t="shared" ref="E13:H13" si="0">E12/E6</f>
        <v>1.1485033877224347E-2</v>
      </c>
      <c r="F13" s="118">
        <f t="shared" si="0"/>
        <v>1.1411544355283963E-2</v>
      </c>
      <c r="G13" s="118">
        <f t="shared" si="0"/>
        <v>1.1098698155259212E-2</v>
      </c>
      <c r="H13" s="118">
        <f t="shared" si="0"/>
        <v>1.1197510599218988E-2</v>
      </c>
    </row>
    <row r="14" spans="1:8" ht="38.25" customHeight="1" x14ac:dyDescent="0.3">
      <c r="A14" s="119" t="s">
        <v>21</v>
      </c>
      <c r="B14" s="114" t="s">
        <v>402</v>
      </c>
      <c r="C14" s="69" t="s">
        <v>396</v>
      </c>
      <c r="D14" s="120">
        <f>D6+D12</f>
        <v>193083.17199999999</v>
      </c>
      <c r="E14" s="120">
        <f t="shared" ref="E14:H14" si="1">E6+E12</f>
        <v>202543.0056</v>
      </c>
      <c r="F14" s="120">
        <f t="shared" si="1"/>
        <v>212375.65688000002</v>
      </c>
      <c r="G14" s="120">
        <f t="shared" si="1"/>
        <v>227514.73622400005</v>
      </c>
      <c r="H14" s="120">
        <f t="shared" si="1"/>
        <v>235125.84053520006</v>
      </c>
    </row>
    <row r="15" spans="1:8" x14ac:dyDescent="0.3">
      <c r="A15" s="119" t="s">
        <v>291</v>
      </c>
      <c r="B15" s="114" t="s">
        <v>111</v>
      </c>
      <c r="C15" s="69"/>
      <c r="D15" s="117"/>
      <c r="E15" s="8"/>
      <c r="F15" s="8"/>
      <c r="G15" s="8"/>
      <c r="H15" s="8"/>
    </row>
    <row r="16" spans="1:8" x14ac:dyDescent="0.3">
      <c r="A16" s="119" t="s">
        <v>293</v>
      </c>
      <c r="B16" s="114" t="s">
        <v>397</v>
      </c>
      <c r="C16" s="69"/>
      <c r="D16" s="117"/>
      <c r="E16" s="8"/>
      <c r="F16" s="8"/>
      <c r="G16" s="8"/>
      <c r="H16" s="8"/>
    </row>
    <row r="17" spans="1:8" x14ac:dyDescent="0.3">
      <c r="A17" s="119"/>
      <c r="B17" s="114" t="s">
        <v>398</v>
      </c>
      <c r="C17" s="69"/>
      <c r="D17" s="117"/>
      <c r="E17" s="8"/>
      <c r="F17" s="8"/>
      <c r="G17" s="8"/>
      <c r="H17" s="8"/>
    </row>
    <row r="18" spans="1:8" x14ac:dyDescent="0.3">
      <c r="A18" s="119"/>
      <c r="B18" s="114" t="s">
        <v>399</v>
      </c>
      <c r="C18" s="69"/>
      <c r="D18" s="117"/>
      <c r="E18" s="8"/>
      <c r="F18" s="8"/>
      <c r="G18" s="8"/>
      <c r="H18" s="8"/>
    </row>
    <row r="19" spans="1:8" x14ac:dyDescent="0.3">
      <c r="A19" s="119" t="s">
        <v>294</v>
      </c>
      <c r="B19" s="114" t="s">
        <v>114</v>
      </c>
      <c r="C19" s="69"/>
      <c r="D19" s="117"/>
      <c r="E19" s="8"/>
      <c r="F19" s="8"/>
      <c r="G19" s="8"/>
      <c r="H19" s="8"/>
    </row>
    <row r="20" spans="1:8" ht="45.75" customHeight="1" x14ac:dyDescent="0.3">
      <c r="A20" s="121" t="s">
        <v>169</v>
      </c>
      <c r="B20" s="121" t="s">
        <v>403</v>
      </c>
      <c r="C20" s="122" t="s">
        <v>404</v>
      </c>
      <c r="D20" s="92">
        <v>15.38</v>
      </c>
      <c r="E20" s="92">
        <v>15.38</v>
      </c>
      <c r="F20" s="92">
        <v>15.38</v>
      </c>
      <c r="G20" s="92">
        <v>15.38</v>
      </c>
      <c r="H20" s="92">
        <v>15.38</v>
      </c>
    </row>
    <row r="21" spans="1:8" ht="27" customHeight="1" x14ac:dyDescent="0.3">
      <c r="A21" s="121" t="s">
        <v>171</v>
      </c>
      <c r="B21" s="121" t="s">
        <v>405</v>
      </c>
      <c r="C21" s="123"/>
      <c r="D21" s="124"/>
      <c r="E21" s="8"/>
      <c r="F21" s="8"/>
      <c r="G21" s="8"/>
      <c r="H21" s="8"/>
    </row>
    <row r="22" spans="1:8" ht="21.6" x14ac:dyDescent="0.3">
      <c r="A22" s="121"/>
      <c r="B22" s="121" t="s">
        <v>406</v>
      </c>
      <c r="C22" s="123"/>
      <c r="D22" s="124"/>
      <c r="E22" s="8"/>
      <c r="F22" s="8"/>
      <c r="G22" s="8"/>
      <c r="H22" s="8"/>
    </row>
    <row r="23" spans="1:8" ht="21" customHeight="1" x14ac:dyDescent="0.3">
      <c r="A23" s="121" t="s">
        <v>176</v>
      </c>
      <c r="B23" s="121" t="s">
        <v>407</v>
      </c>
      <c r="C23" s="123"/>
      <c r="D23" s="124"/>
      <c r="E23" s="8"/>
      <c r="F23" s="8"/>
      <c r="G23" s="8"/>
      <c r="H23" s="8"/>
    </row>
    <row r="24" spans="1:8" ht="21.6" x14ac:dyDescent="0.3">
      <c r="A24" s="74"/>
      <c r="B24" s="74" t="s">
        <v>408</v>
      </c>
      <c r="C24" s="76"/>
      <c r="D24" s="75"/>
      <c r="E24" s="8"/>
      <c r="F24" s="8"/>
      <c r="G24" s="8"/>
      <c r="H24" s="8"/>
    </row>
    <row r="25" spans="1:8" ht="15.75" customHeight="1" x14ac:dyDescent="0.3">
      <c r="A25" s="74" t="s">
        <v>178</v>
      </c>
      <c r="B25" s="74" t="s">
        <v>409</v>
      </c>
      <c r="C25" s="76"/>
      <c r="D25" s="75"/>
      <c r="E25" s="8"/>
      <c r="F25" s="8"/>
      <c r="G25" s="8"/>
      <c r="H25" s="8"/>
    </row>
    <row r="26" spans="1:8" ht="44.25" customHeight="1" x14ac:dyDescent="0.3">
      <c r="A26" s="74" t="s">
        <v>234</v>
      </c>
      <c r="B26" s="77" t="s">
        <v>410</v>
      </c>
      <c r="C26" s="58" t="s">
        <v>411</v>
      </c>
      <c r="D26" s="210">
        <f>D14*1000/(D20*12)</f>
        <v>1046181.0359774599</v>
      </c>
      <c r="E26" s="210">
        <f t="shared" ref="E26:H26" si="2">E14*1000/(E20*12)</f>
        <v>1097437.1781534459</v>
      </c>
      <c r="F26" s="210">
        <f t="shared" si="2"/>
        <v>1150713.3554399654</v>
      </c>
      <c r="G26" s="210">
        <f t="shared" si="2"/>
        <v>1232741.310273082</v>
      </c>
      <c r="H26" s="210">
        <f t="shared" si="2"/>
        <v>1273980.4970481147</v>
      </c>
    </row>
    <row r="28" spans="1:8" x14ac:dyDescent="0.3">
      <c r="A28" t="s">
        <v>572</v>
      </c>
      <c r="C28" t="s">
        <v>537</v>
      </c>
    </row>
  </sheetData>
  <mergeCells count="4">
    <mergeCell ref="A2:C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8"/>
  <sheetViews>
    <sheetView topLeftCell="A7" workbookViewId="0">
      <selection activeCell="I29" sqref="I29"/>
    </sheetView>
  </sheetViews>
  <sheetFormatPr defaultRowHeight="14.4" x14ac:dyDescent="0.3"/>
  <cols>
    <col min="1" max="1" width="5.44140625" customWidth="1"/>
    <col min="2" max="2" width="27.21875" customWidth="1"/>
    <col min="3" max="3" width="9.21875" customWidth="1"/>
    <col min="4" max="8" width="8" customWidth="1"/>
    <col min="9" max="9" width="10" customWidth="1"/>
  </cols>
  <sheetData>
    <row r="1" spans="1:8" ht="25.5" customHeight="1" x14ac:dyDescent="0.3">
      <c r="A1" s="78"/>
      <c r="B1" s="78"/>
      <c r="C1" s="190" t="s">
        <v>412</v>
      </c>
    </row>
    <row r="2" spans="1:8" ht="39" customHeight="1" x14ac:dyDescent="0.3">
      <c r="A2" s="727" t="s">
        <v>921</v>
      </c>
      <c r="B2" s="727"/>
      <c r="C2" s="727"/>
    </row>
    <row r="3" spans="1:8" ht="27.45" customHeight="1" x14ac:dyDescent="0.3">
      <c r="A3" s="288" t="s">
        <v>150</v>
      </c>
      <c r="B3" s="288"/>
      <c r="C3" s="287" t="s">
        <v>393</v>
      </c>
      <c r="D3" s="88" t="s">
        <v>908</v>
      </c>
      <c r="E3" s="87" t="s">
        <v>909</v>
      </c>
      <c r="F3" s="87" t="s">
        <v>910</v>
      </c>
      <c r="G3" s="87" t="s">
        <v>911</v>
      </c>
      <c r="H3" s="87" t="s">
        <v>912</v>
      </c>
    </row>
    <row r="4" spans="1:8" x14ac:dyDescent="0.3">
      <c r="A4" s="71">
        <v>1</v>
      </c>
      <c r="B4" s="71">
        <v>2</v>
      </c>
      <c r="C4" s="71">
        <v>3</v>
      </c>
      <c r="D4" s="79">
        <v>4</v>
      </c>
      <c r="E4" s="83">
        <v>5</v>
      </c>
      <c r="F4" s="83">
        <v>6</v>
      </c>
      <c r="G4" s="83">
        <v>7</v>
      </c>
      <c r="H4" s="83">
        <v>8</v>
      </c>
    </row>
    <row r="5" spans="1:8" ht="24" customHeight="1" x14ac:dyDescent="0.3">
      <c r="A5" s="73" t="s">
        <v>17</v>
      </c>
      <c r="B5" s="72" t="s">
        <v>413</v>
      </c>
      <c r="C5" s="80" t="s">
        <v>414</v>
      </c>
      <c r="D5" s="349">
        <f>2101.17*1.05*1.2</f>
        <v>2647.4742000000001</v>
      </c>
      <c r="E5" s="350">
        <f>D5*1.05</f>
        <v>2779.8479100000004</v>
      </c>
      <c r="F5" s="350">
        <f t="shared" ref="F5:H5" si="0">E5*1.05</f>
        <v>2918.8403055000003</v>
      </c>
      <c r="G5" s="350">
        <f t="shared" si="0"/>
        <v>3064.7823207750007</v>
      </c>
      <c r="H5" s="350">
        <f t="shared" si="0"/>
        <v>3218.0214368137508</v>
      </c>
    </row>
    <row r="6" spans="1:8" ht="33.75" customHeight="1" x14ac:dyDescent="0.3">
      <c r="A6" s="73" t="s">
        <v>415</v>
      </c>
      <c r="B6" s="72" t="s">
        <v>416</v>
      </c>
      <c r="C6" s="71" t="s">
        <v>417</v>
      </c>
      <c r="D6" s="351">
        <v>106.17</v>
      </c>
      <c r="E6" s="351">
        <v>106.17</v>
      </c>
      <c r="F6" s="351">
        <v>106.17</v>
      </c>
      <c r="G6" s="351">
        <v>106.17</v>
      </c>
      <c r="H6" s="351">
        <v>106.17</v>
      </c>
    </row>
    <row r="7" spans="1:8" x14ac:dyDescent="0.3">
      <c r="A7" s="73" t="s">
        <v>246</v>
      </c>
      <c r="B7" s="72" t="s">
        <v>111</v>
      </c>
      <c r="C7" s="71" t="s">
        <v>417</v>
      </c>
      <c r="D7" s="351"/>
      <c r="E7" s="351"/>
      <c r="F7" s="351"/>
      <c r="G7" s="351"/>
      <c r="H7" s="351"/>
    </row>
    <row r="8" spans="1:8" x14ac:dyDescent="0.3">
      <c r="A8" s="73"/>
      <c r="B8" s="72" t="s">
        <v>397</v>
      </c>
      <c r="C8" s="71" t="s">
        <v>417</v>
      </c>
      <c r="D8" s="351"/>
      <c r="E8" s="351"/>
      <c r="F8" s="351"/>
      <c r="G8" s="351"/>
      <c r="H8" s="351"/>
    </row>
    <row r="9" spans="1:8" x14ac:dyDescent="0.3">
      <c r="A9" s="73"/>
      <c r="B9" s="72" t="s">
        <v>418</v>
      </c>
      <c r="C9" s="71" t="s">
        <v>417</v>
      </c>
      <c r="D9" s="351"/>
      <c r="E9" s="351"/>
      <c r="F9" s="351"/>
      <c r="G9" s="351"/>
      <c r="H9" s="351"/>
    </row>
    <row r="10" spans="1:8" x14ac:dyDescent="0.3">
      <c r="A10" s="81" t="s">
        <v>249</v>
      </c>
      <c r="B10" s="82" t="s">
        <v>419</v>
      </c>
      <c r="C10" s="83" t="s">
        <v>417</v>
      </c>
      <c r="D10" s="352"/>
      <c r="E10" s="352"/>
      <c r="F10" s="352"/>
      <c r="G10" s="352"/>
      <c r="H10" s="352"/>
    </row>
    <row r="11" spans="1:8" x14ac:dyDescent="0.3">
      <c r="A11" s="81" t="s">
        <v>251</v>
      </c>
      <c r="B11" s="82" t="s">
        <v>114</v>
      </c>
      <c r="C11" s="83" t="s">
        <v>417</v>
      </c>
      <c r="D11" s="352"/>
      <c r="E11" s="352"/>
      <c r="F11" s="352"/>
      <c r="G11" s="352"/>
      <c r="H11" s="352"/>
    </row>
    <row r="12" spans="1:8" ht="17.25" customHeight="1" x14ac:dyDescent="0.3">
      <c r="A12" s="81" t="s">
        <v>21</v>
      </c>
      <c r="B12" s="82" t="s">
        <v>420</v>
      </c>
      <c r="C12" s="83" t="s">
        <v>263</v>
      </c>
      <c r="D12" s="353">
        <v>11.631</v>
      </c>
      <c r="E12" s="353">
        <v>11.631</v>
      </c>
      <c r="F12" s="353">
        <v>11.631</v>
      </c>
      <c r="G12" s="353">
        <v>11.631</v>
      </c>
      <c r="H12" s="353">
        <v>11.631</v>
      </c>
    </row>
    <row r="13" spans="1:8" x14ac:dyDescent="0.3">
      <c r="A13" s="81" t="s">
        <v>291</v>
      </c>
      <c r="B13" s="82" t="s">
        <v>152</v>
      </c>
      <c r="C13" s="83" t="s">
        <v>417</v>
      </c>
      <c r="D13" s="508">
        <f>D6*D12%</f>
        <v>12.3486327</v>
      </c>
      <c r="E13" s="508">
        <f t="shared" ref="E13:H13" si="1">E6*E12%</f>
        <v>12.3486327</v>
      </c>
      <c r="F13" s="508">
        <f t="shared" si="1"/>
        <v>12.3486327</v>
      </c>
      <c r="G13" s="508">
        <f t="shared" si="1"/>
        <v>12.3486327</v>
      </c>
      <c r="H13" s="508">
        <f t="shared" si="1"/>
        <v>12.3486327</v>
      </c>
    </row>
    <row r="14" spans="1:8" x14ac:dyDescent="0.3">
      <c r="A14" s="81"/>
      <c r="B14" s="82" t="s">
        <v>111</v>
      </c>
      <c r="C14" s="83" t="s">
        <v>417</v>
      </c>
      <c r="D14" s="352"/>
      <c r="E14" s="352"/>
      <c r="F14" s="352"/>
      <c r="G14" s="352"/>
      <c r="H14" s="352"/>
    </row>
    <row r="15" spans="1:8" x14ac:dyDescent="0.3">
      <c r="A15" s="81"/>
      <c r="B15" s="82" t="s">
        <v>418</v>
      </c>
      <c r="C15" s="83" t="s">
        <v>263</v>
      </c>
      <c r="D15" s="352"/>
      <c r="E15" s="352"/>
      <c r="F15" s="352"/>
      <c r="G15" s="352"/>
      <c r="H15" s="352"/>
    </row>
    <row r="16" spans="1:8" x14ac:dyDescent="0.3">
      <c r="A16" s="81" t="s">
        <v>293</v>
      </c>
      <c r="B16" s="82" t="s">
        <v>419</v>
      </c>
      <c r="C16" s="83" t="s">
        <v>263</v>
      </c>
      <c r="D16" s="352"/>
      <c r="E16" s="352"/>
      <c r="F16" s="352"/>
      <c r="G16" s="352"/>
      <c r="H16" s="352"/>
    </row>
    <row r="17" spans="1:8" x14ac:dyDescent="0.3">
      <c r="A17" s="81" t="s">
        <v>294</v>
      </c>
      <c r="B17" s="82" t="s">
        <v>114</v>
      </c>
      <c r="C17" s="83" t="s">
        <v>263</v>
      </c>
      <c r="D17" s="352"/>
      <c r="E17" s="352"/>
      <c r="F17" s="352"/>
      <c r="G17" s="352"/>
      <c r="H17" s="352"/>
    </row>
    <row r="18" spans="1:8" x14ac:dyDescent="0.3">
      <c r="A18" s="81" t="s">
        <v>169</v>
      </c>
      <c r="B18" s="82" t="s">
        <v>421</v>
      </c>
      <c r="C18" s="83" t="s">
        <v>417</v>
      </c>
      <c r="D18" s="509">
        <f>D6-D13</f>
        <v>93.821367300000006</v>
      </c>
      <c r="E18" s="509">
        <f t="shared" ref="E18:H18" si="2">E6-E13</f>
        <v>93.821367300000006</v>
      </c>
      <c r="F18" s="509">
        <f t="shared" si="2"/>
        <v>93.821367300000006</v>
      </c>
      <c r="G18" s="509">
        <f t="shared" si="2"/>
        <v>93.821367300000006</v>
      </c>
      <c r="H18" s="509">
        <f t="shared" si="2"/>
        <v>93.821367300000006</v>
      </c>
    </row>
    <row r="19" spans="1:8" x14ac:dyDescent="0.3">
      <c r="A19" s="81" t="s">
        <v>171</v>
      </c>
      <c r="B19" s="82" t="s">
        <v>111</v>
      </c>
      <c r="C19" s="83" t="s">
        <v>417</v>
      </c>
      <c r="D19" s="352"/>
      <c r="E19" s="352"/>
      <c r="F19" s="352"/>
      <c r="G19" s="352"/>
      <c r="H19" s="352"/>
    </row>
    <row r="20" spans="1:8" x14ac:dyDescent="0.3">
      <c r="A20" s="81"/>
      <c r="B20" s="82" t="s">
        <v>397</v>
      </c>
      <c r="C20" s="83" t="s">
        <v>417</v>
      </c>
      <c r="D20" s="352"/>
      <c r="E20" s="352"/>
      <c r="F20" s="352"/>
      <c r="G20" s="352"/>
      <c r="H20" s="352"/>
    </row>
    <row r="21" spans="1:8" x14ac:dyDescent="0.3">
      <c r="A21" s="81"/>
      <c r="B21" s="82" t="s">
        <v>418</v>
      </c>
      <c r="C21" s="83" t="s">
        <v>417</v>
      </c>
      <c r="D21" s="352"/>
      <c r="E21" s="352"/>
      <c r="F21" s="352"/>
      <c r="G21" s="352"/>
      <c r="H21" s="352"/>
    </row>
    <row r="22" spans="1:8" x14ac:dyDescent="0.3">
      <c r="A22" s="81" t="s">
        <v>176</v>
      </c>
      <c r="B22" s="82" t="s">
        <v>419</v>
      </c>
      <c r="C22" s="83" t="s">
        <v>417</v>
      </c>
      <c r="D22" s="352"/>
      <c r="E22" s="352"/>
      <c r="F22" s="352"/>
      <c r="G22" s="352"/>
      <c r="H22" s="352"/>
    </row>
    <row r="23" spans="1:8" x14ac:dyDescent="0.3">
      <c r="A23" s="81" t="s">
        <v>178</v>
      </c>
      <c r="B23" s="82" t="s">
        <v>114</v>
      </c>
      <c r="C23" s="83" t="s">
        <v>417</v>
      </c>
      <c r="D23" s="352"/>
      <c r="E23" s="205"/>
      <c r="F23" s="205"/>
      <c r="G23" s="205"/>
      <c r="H23" s="205"/>
    </row>
    <row r="24" spans="1:8" x14ac:dyDescent="0.3">
      <c r="A24" s="73" t="s">
        <v>234</v>
      </c>
      <c r="B24" s="72" t="s">
        <v>422</v>
      </c>
      <c r="C24" s="71" t="s">
        <v>292</v>
      </c>
      <c r="D24" s="354">
        <f>D5*D13</f>
        <v>32692.686478526339</v>
      </c>
      <c r="E24" s="354">
        <f t="shared" ref="E24:H24" si="3">E5*E13</f>
        <v>34327.320802452661</v>
      </c>
      <c r="F24" s="354">
        <f t="shared" si="3"/>
        <v>36043.686842575291</v>
      </c>
      <c r="G24" s="354">
        <f t="shared" si="3"/>
        <v>37845.871184704061</v>
      </c>
      <c r="H24" s="354">
        <f t="shared" si="3"/>
        <v>39738.164743939269</v>
      </c>
    </row>
    <row r="25" spans="1:8" ht="31.8" x14ac:dyDescent="0.3">
      <c r="A25" s="73" t="s">
        <v>169</v>
      </c>
      <c r="B25" s="72" t="s">
        <v>423</v>
      </c>
      <c r="C25" s="71" t="s">
        <v>414</v>
      </c>
      <c r="D25" s="355">
        <f t="shared" ref="D25:H25" si="4">D24/D18</f>
        <v>348.45672600346273</v>
      </c>
      <c r="E25" s="355">
        <f t="shared" si="4"/>
        <v>365.87956230363591</v>
      </c>
      <c r="F25" s="355">
        <f t="shared" si="4"/>
        <v>384.17354041881765</v>
      </c>
      <c r="G25" s="355">
        <f t="shared" si="4"/>
        <v>403.38221743975862</v>
      </c>
      <c r="H25" s="355">
        <f t="shared" si="4"/>
        <v>423.5513283117466</v>
      </c>
    </row>
    <row r="26" spans="1:8" x14ac:dyDescent="0.3">
      <c r="A26" s="510"/>
      <c r="B26" s="511"/>
      <c r="C26" s="512"/>
      <c r="D26" s="513"/>
      <c r="E26" s="513"/>
      <c r="F26" s="513"/>
      <c r="G26" s="513"/>
      <c r="H26" s="513"/>
    </row>
    <row r="27" spans="1:8" ht="35.4" customHeight="1" x14ac:dyDescent="0.3">
      <c r="A27" s="728" t="s">
        <v>920</v>
      </c>
      <c r="B27" s="729"/>
      <c r="C27" s="729"/>
      <c r="D27" s="729"/>
      <c r="E27" s="729"/>
      <c r="F27" s="729"/>
      <c r="G27" s="729"/>
      <c r="H27" s="729"/>
    </row>
    <row r="28" spans="1:8" x14ac:dyDescent="0.3">
      <c r="A28" t="s">
        <v>9</v>
      </c>
      <c r="B28" s="84"/>
      <c r="C28" s="201" t="s">
        <v>537</v>
      </c>
    </row>
  </sheetData>
  <mergeCells count="2">
    <mergeCell ref="A2:C2"/>
    <mergeCell ref="A27:H2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8"/>
  <sheetViews>
    <sheetView workbookViewId="0">
      <selection activeCell="G3" sqref="G3"/>
    </sheetView>
  </sheetViews>
  <sheetFormatPr defaultColWidth="8.77734375" defaultRowHeight="14.4" x14ac:dyDescent="0.3"/>
  <cols>
    <col min="1" max="1" width="37.21875" style="313" customWidth="1"/>
    <col min="2" max="2" width="18" style="313" customWidth="1"/>
    <col min="3" max="3" width="13.44140625" style="313" customWidth="1"/>
    <col min="4" max="4" width="10.44140625" style="313" customWidth="1"/>
    <col min="5" max="5" width="8.88671875" style="313" bestFit="1" customWidth="1"/>
    <col min="6" max="6" width="9.44140625" style="313" bestFit="1" customWidth="1"/>
    <col min="7" max="7" width="10.33203125" style="313" bestFit="1" customWidth="1"/>
    <col min="8" max="16384" width="8.77734375" style="313"/>
  </cols>
  <sheetData>
    <row r="1" spans="1:7" ht="51.6" customHeight="1" x14ac:dyDescent="0.35">
      <c r="A1" s="730" t="s">
        <v>582</v>
      </c>
      <c r="B1" s="731"/>
      <c r="C1" s="95" t="s">
        <v>855</v>
      </c>
      <c r="D1" s="157"/>
    </row>
    <row r="2" spans="1:7" ht="45" customHeight="1" x14ac:dyDescent="0.3">
      <c r="A2" s="314"/>
      <c r="B2" s="316" t="s">
        <v>871</v>
      </c>
      <c r="C2" s="86" t="s">
        <v>845</v>
      </c>
      <c r="D2" s="86" t="s">
        <v>846</v>
      </c>
      <c r="E2" s="86" t="s">
        <v>847</v>
      </c>
      <c r="F2" s="86" t="s">
        <v>848</v>
      </c>
      <c r="G2" s="86" t="s">
        <v>849</v>
      </c>
    </row>
    <row r="3" spans="1:7" x14ac:dyDescent="0.3">
      <c r="A3" s="317" t="s">
        <v>152</v>
      </c>
      <c r="B3" s="321">
        <f>B4+B5+B9+B10+B6+B7+B8+B11</f>
        <v>14688.740000000002</v>
      </c>
      <c r="C3" s="321">
        <f>C4+C5+C9+C10+C6+C7+C8+C11</f>
        <v>15423.177000000001</v>
      </c>
      <c r="D3" s="323">
        <f>D4+D5+D9+D10+D6+D7+D8+D11</f>
        <v>16344.908525000001</v>
      </c>
      <c r="E3" s="323">
        <f t="shared" ref="E3:G3" si="0">E4+E5+E9+E10+E6+E7+E8+E11</f>
        <v>17861.653951250002</v>
      </c>
      <c r="F3" s="323">
        <f t="shared" si="0"/>
        <v>18021.086648812503</v>
      </c>
      <c r="G3" s="323">
        <f t="shared" si="0"/>
        <v>19692.190981253127</v>
      </c>
    </row>
    <row r="4" spans="1:7" x14ac:dyDescent="0.3">
      <c r="A4" s="318" t="s">
        <v>424</v>
      </c>
      <c r="B4" s="321">
        <v>5683</v>
      </c>
      <c r="C4" s="321">
        <f>B4*1.05</f>
        <v>5967.1500000000005</v>
      </c>
      <c r="D4" s="464">
        <f>C4*1.05</f>
        <v>6265.5075000000006</v>
      </c>
      <c r="E4" s="465">
        <f t="shared" ref="E4:G4" si="1">D4*1.05</f>
        <v>6578.7828750000008</v>
      </c>
      <c r="F4" s="465">
        <f t="shared" si="1"/>
        <v>6907.7220187500016</v>
      </c>
      <c r="G4" s="465">
        <f t="shared" si="1"/>
        <v>7253.108119687502</v>
      </c>
    </row>
    <row r="5" spans="1:7" ht="28.5" customHeight="1" x14ac:dyDescent="0.3">
      <c r="A5" s="318" t="s">
        <v>872</v>
      </c>
      <c r="B5" s="322">
        <v>710.28</v>
      </c>
      <c r="C5" s="322">
        <f>B5*1.05</f>
        <v>745.79399999999998</v>
      </c>
      <c r="D5" s="320">
        <f t="shared" ref="D5:G5" si="2">C5*1.05</f>
        <v>783.08370000000002</v>
      </c>
      <c r="E5" s="320">
        <f t="shared" si="2"/>
        <v>822.23788500000001</v>
      </c>
      <c r="F5" s="320">
        <f t="shared" si="2"/>
        <v>863.3497792500001</v>
      </c>
      <c r="G5" s="320">
        <f t="shared" si="2"/>
        <v>906.51726821250008</v>
      </c>
    </row>
    <row r="6" spans="1:7" ht="28.5" customHeight="1" x14ac:dyDescent="0.3">
      <c r="A6" s="318" t="s">
        <v>544</v>
      </c>
      <c r="B6" s="322">
        <v>2068.3000000000002</v>
      </c>
      <c r="C6" s="322">
        <f t="shared" ref="C6:C10" si="3">B6*1.05</f>
        <v>2171.7150000000001</v>
      </c>
      <c r="D6" s="320">
        <f t="shared" ref="D6:G6" si="4">C6*1.05</f>
        <v>2280.3007500000003</v>
      </c>
      <c r="E6" s="320">
        <f t="shared" si="4"/>
        <v>2394.3157875000006</v>
      </c>
      <c r="F6" s="320">
        <f t="shared" si="4"/>
        <v>2514.0315768750006</v>
      </c>
      <c r="G6" s="320">
        <f t="shared" si="4"/>
        <v>2639.7331557187508</v>
      </c>
    </row>
    <row r="7" spans="1:7" x14ac:dyDescent="0.3">
      <c r="A7" s="318" t="s">
        <v>425</v>
      </c>
      <c r="B7" s="322">
        <v>5695.81</v>
      </c>
      <c r="C7" s="322">
        <f t="shared" si="3"/>
        <v>5980.6005000000005</v>
      </c>
      <c r="D7" s="320">
        <f t="shared" ref="D7:G7" si="5">C7*1.05</f>
        <v>6279.6305250000005</v>
      </c>
      <c r="E7" s="320">
        <f t="shared" si="5"/>
        <v>6593.6120512500011</v>
      </c>
      <c r="F7" s="320">
        <f t="shared" si="5"/>
        <v>6923.2926538125012</v>
      </c>
      <c r="G7" s="320">
        <f t="shared" si="5"/>
        <v>7269.4572865031269</v>
      </c>
    </row>
    <row r="8" spans="1:7" ht="27.6" x14ac:dyDescent="0.3">
      <c r="A8" s="319" t="s">
        <v>426</v>
      </c>
      <c r="B8" s="322">
        <v>30.36</v>
      </c>
      <c r="C8" s="322">
        <f t="shared" si="3"/>
        <v>31.878</v>
      </c>
      <c r="D8" s="320">
        <f t="shared" ref="D8:G10" si="6">C8*1.05</f>
        <v>33.471899999999998</v>
      </c>
      <c r="E8" s="320">
        <f t="shared" si="6"/>
        <v>35.145494999999997</v>
      </c>
      <c r="F8" s="320">
        <f t="shared" si="6"/>
        <v>36.902769749999997</v>
      </c>
      <c r="G8" s="320">
        <f t="shared" si="6"/>
        <v>38.747908237499999</v>
      </c>
    </row>
    <row r="9" spans="1:7" x14ac:dyDescent="0.3">
      <c r="A9" s="319" t="s">
        <v>735</v>
      </c>
      <c r="B9" s="322">
        <v>33.74</v>
      </c>
      <c r="C9" s="322">
        <f t="shared" si="3"/>
        <v>35.427000000000007</v>
      </c>
      <c r="D9" s="320">
        <f t="shared" si="6"/>
        <v>37.198350000000012</v>
      </c>
      <c r="E9" s="320">
        <f t="shared" si="6"/>
        <v>39.058267500000014</v>
      </c>
      <c r="F9" s="320">
        <f t="shared" si="6"/>
        <v>41.011180875000015</v>
      </c>
      <c r="G9" s="320">
        <f t="shared" si="6"/>
        <v>43.061739918750021</v>
      </c>
    </row>
    <row r="10" spans="1:7" ht="27.6" x14ac:dyDescent="0.3">
      <c r="A10" s="319" t="s">
        <v>736</v>
      </c>
      <c r="B10" s="322">
        <v>170.02</v>
      </c>
      <c r="C10" s="322">
        <f t="shared" si="3"/>
        <v>178.52100000000002</v>
      </c>
      <c r="D10" s="320">
        <f t="shared" si="6"/>
        <v>187.44705000000002</v>
      </c>
      <c r="E10" s="320">
        <f t="shared" si="6"/>
        <v>196.81940250000002</v>
      </c>
      <c r="F10" s="320">
        <f t="shared" si="6"/>
        <v>206.66037262500004</v>
      </c>
      <c r="G10" s="320">
        <f t="shared" si="6"/>
        <v>216.99339125625005</v>
      </c>
    </row>
    <row r="11" spans="1:7" ht="21.75" customHeight="1" x14ac:dyDescent="0.3">
      <c r="A11" s="317" t="s">
        <v>543</v>
      </c>
      <c r="B11" s="322">
        <f t="shared" ref="B11:G11" si="7">B12+B13</f>
        <v>297.23</v>
      </c>
      <c r="C11" s="322">
        <f t="shared" si="7"/>
        <v>312.09150000000005</v>
      </c>
      <c r="D11" s="322">
        <f t="shared" si="7"/>
        <v>478.26875000000001</v>
      </c>
      <c r="E11" s="322">
        <f t="shared" si="7"/>
        <v>1201.6821875000001</v>
      </c>
      <c r="F11" s="322">
        <f t="shared" si="7"/>
        <v>528.11629687499999</v>
      </c>
      <c r="G11" s="322">
        <f t="shared" si="7"/>
        <v>1324.57211171875</v>
      </c>
    </row>
    <row r="12" spans="1:7" ht="21.75" customHeight="1" x14ac:dyDescent="0.3">
      <c r="A12" s="318" t="s">
        <v>542</v>
      </c>
      <c r="B12" s="322">
        <v>289.73</v>
      </c>
      <c r="C12" s="322">
        <f t="shared" ref="C12:C13" si="8">B12*1.05</f>
        <v>304.21650000000005</v>
      </c>
      <c r="D12" s="320">
        <v>470</v>
      </c>
      <c r="E12" s="320">
        <v>1193</v>
      </c>
      <c r="F12" s="320">
        <v>519</v>
      </c>
      <c r="G12" s="320">
        <v>1315</v>
      </c>
    </row>
    <row r="13" spans="1:7" x14ac:dyDescent="0.3">
      <c r="A13" s="181" t="s">
        <v>546</v>
      </c>
      <c r="B13" s="322">
        <v>7.5</v>
      </c>
      <c r="C13" s="322">
        <f t="shared" si="8"/>
        <v>7.875</v>
      </c>
      <c r="D13" s="320">
        <f t="shared" ref="D13:G13" si="9">C13*1.05</f>
        <v>8.2687500000000007</v>
      </c>
      <c r="E13" s="320">
        <f t="shared" si="9"/>
        <v>8.6821875000000013</v>
      </c>
      <c r="F13" s="320">
        <f t="shared" si="9"/>
        <v>9.1162968750000015</v>
      </c>
      <c r="G13" s="320">
        <f t="shared" si="9"/>
        <v>9.5721117187500013</v>
      </c>
    </row>
    <row r="14" spans="1:7" x14ac:dyDescent="0.3">
      <c r="A14" s="181" t="s">
        <v>734</v>
      </c>
      <c r="B14" s="323">
        <f t="shared" ref="B14:G14" si="10">B3-B4</f>
        <v>9005.7400000000016</v>
      </c>
      <c r="C14" s="323">
        <f t="shared" si="10"/>
        <v>9456.0270000000019</v>
      </c>
      <c r="D14" s="323">
        <f t="shared" si="10"/>
        <v>10079.401024999999</v>
      </c>
      <c r="E14" s="323">
        <f t="shared" si="10"/>
        <v>11282.871076250001</v>
      </c>
      <c r="F14" s="323">
        <f t="shared" si="10"/>
        <v>11113.364630062501</v>
      </c>
      <c r="G14" s="323">
        <f t="shared" si="10"/>
        <v>12439.082861565625</v>
      </c>
    </row>
    <row r="15" spans="1:7" x14ac:dyDescent="0.3">
      <c r="A15" s="343"/>
      <c r="B15" s="344"/>
      <c r="C15" s="344"/>
      <c r="D15" s="345"/>
      <c r="E15" s="345"/>
      <c r="F15" s="345"/>
      <c r="G15" s="345"/>
    </row>
    <row r="16" spans="1:7" x14ac:dyDescent="0.3">
      <c r="A16" s="343"/>
      <c r="B16" s="344"/>
      <c r="C16" s="344"/>
      <c r="D16" s="345"/>
      <c r="E16" s="345"/>
      <c r="F16" s="345"/>
      <c r="G16" s="345"/>
    </row>
    <row r="17" spans="1:3" x14ac:dyDescent="0.3">
      <c r="A17" s="315"/>
      <c r="B17" s="315"/>
      <c r="C17" s="315"/>
    </row>
    <row r="18" spans="1:3" x14ac:dyDescent="0.3">
      <c r="A18" s="313" t="s">
        <v>9</v>
      </c>
      <c r="B18" s="313" t="s">
        <v>537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67"/>
  <sheetViews>
    <sheetView topLeftCell="A48" workbookViewId="0">
      <selection activeCell="A42" sqref="A42:G75"/>
    </sheetView>
  </sheetViews>
  <sheetFormatPr defaultRowHeight="14.4" x14ac:dyDescent="0.3"/>
  <cols>
    <col min="1" max="1" width="4.21875" customWidth="1"/>
    <col min="2" max="2" width="15.21875" customWidth="1"/>
    <col min="3" max="3" width="11.5546875" customWidth="1"/>
    <col min="4" max="4" width="14.109375" customWidth="1"/>
    <col min="5" max="5" width="16.21875" customWidth="1"/>
    <col min="6" max="6" width="13.44140625" customWidth="1"/>
    <col min="7" max="7" width="11.44140625" customWidth="1"/>
    <col min="8" max="8" width="9.44140625" bestFit="1" customWidth="1"/>
  </cols>
  <sheetData>
    <row r="2" spans="2:5" ht="15.6" x14ac:dyDescent="0.3">
      <c r="B2" s="156" t="s">
        <v>803</v>
      </c>
      <c r="C2" s="156"/>
      <c r="D2" s="156"/>
    </row>
    <row r="3" spans="2:5" ht="16.95" customHeight="1" x14ac:dyDescent="0.3"/>
    <row r="4" spans="2:5" x14ac:dyDescent="0.3">
      <c r="B4" s="739" t="s">
        <v>464</v>
      </c>
      <c r="C4" s="739"/>
      <c r="D4" s="739"/>
      <c r="E4" s="739"/>
    </row>
    <row r="5" spans="2:5" x14ac:dyDescent="0.3">
      <c r="B5" s="739" t="s">
        <v>684</v>
      </c>
      <c r="C5" s="739"/>
      <c r="D5" s="739"/>
      <c r="E5" s="739"/>
    </row>
    <row r="6" spans="2:5" x14ac:dyDescent="0.3">
      <c r="B6" s="739" t="s">
        <v>685</v>
      </c>
      <c r="C6" s="739"/>
      <c r="D6" s="739"/>
      <c r="E6" s="739"/>
    </row>
    <row r="7" spans="2:5" x14ac:dyDescent="0.3">
      <c r="E7" t="s">
        <v>858</v>
      </c>
    </row>
    <row r="8" spans="2:5" ht="57.6" customHeight="1" x14ac:dyDescent="0.3">
      <c r="B8" s="96" t="s">
        <v>445</v>
      </c>
      <c r="C8" s="96" t="s">
        <v>446</v>
      </c>
      <c r="D8" s="96" t="s">
        <v>804</v>
      </c>
      <c r="E8" s="96" t="s">
        <v>447</v>
      </c>
    </row>
    <row r="10" spans="2:5" x14ac:dyDescent="0.3">
      <c r="B10" s="8" t="s">
        <v>448</v>
      </c>
      <c r="C10" s="47">
        <v>3.58</v>
      </c>
      <c r="D10" s="397">
        <v>216062.33</v>
      </c>
      <c r="E10" s="97">
        <f>D10*C10</f>
        <v>773503.14139999996</v>
      </c>
    </row>
    <row r="11" spans="2:5" x14ac:dyDescent="0.3">
      <c r="B11" s="8" t="s">
        <v>449</v>
      </c>
      <c r="C11" s="47">
        <v>3.58</v>
      </c>
      <c r="D11" s="397">
        <v>216062.33</v>
      </c>
      <c r="E11" s="97">
        <f t="shared" ref="E11:E21" si="0">D11*C11</f>
        <v>773503.14139999996</v>
      </c>
    </row>
    <row r="12" spans="2:5" x14ac:dyDescent="0.3">
      <c r="B12" s="8" t="s">
        <v>450</v>
      </c>
      <c r="C12" s="47">
        <v>3.58</v>
      </c>
      <c r="D12" s="397">
        <v>216062.33</v>
      </c>
      <c r="E12" s="97">
        <f t="shared" si="0"/>
        <v>773503.14139999996</v>
      </c>
    </row>
    <row r="13" spans="2:5" x14ac:dyDescent="0.3">
      <c r="B13" s="8" t="s">
        <v>451</v>
      </c>
      <c r="C13" s="47">
        <v>3.58</v>
      </c>
      <c r="D13" s="397">
        <v>216062.33</v>
      </c>
      <c r="E13" s="97">
        <f t="shared" si="0"/>
        <v>773503.14139999996</v>
      </c>
    </row>
    <row r="14" spans="2:5" x14ac:dyDescent="0.3">
      <c r="B14" s="8" t="s">
        <v>452</v>
      </c>
      <c r="C14" s="47">
        <v>3.58</v>
      </c>
      <c r="D14" s="397">
        <v>216062.33</v>
      </c>
      <c r="E14" s="97">
        <f t="shared" si="0"/>
        <v>773503.14139999996</v>
      </c>
    </row>
    <row r="15" spans="2:5" x14ac:dyDescent="0.3">
      <c r="B15" s="8" t="s">
        <v>453</v>
      </c>
      <c r="C15" s="47">
        <v>3.58</v>
      </c>
      <c r="D15" s="397">
        <v>216062.33</v>
      </c>
      <c r="E15" s="97">
        <f t="shared" si="0"/>
        <v>773503.14139999996</v>
      </c>
    </row>
    <row r="16" spans="2:5" x14ac:dyDescent="0.3">
      <c r="B16" s="8" t="s">
        <v>454</v>
      </c>
      <c r="C16" s="47">
        <v>3.58</v>
      </c>
      <c r="D16" s="397">
        <v>229674.57</v>
      </c>
      <c r="E16" s="97">
        <f t="shared" si="0"/>
        <v>822234.96059999999</v>
      </c>
    </row>
    <row r="17" spans="1:7" x14ac:dyDescent="0.3">
      <c r="B17" s="8" t="s">
        <v>455</v>
      </c>
      <c r="C17" s="47">
        <v>3.58</v>
      </c>
      <c r="D17" s="397">
        <v>229674.57</v>
      </c>
      <c r="E17" s="97">
        <f t="shared" si="0"/>
        <v>822234.96059999999</v>
      </c>
    </row>
    <row r="18" spans="1:7" x14ac:dyDescent="0.3">
      <c r="B18" s="8" t="s">
        <v>456</v>
      </c>
      <c r="C18" s="47">
        <v>3.58</v>
      </c>
      <c r="D18" s="397">
        <v>229674.57</v>
      </c>
      <c r="E18" s="97">
        <f t="shared" si="0"/>
        <v>822234.96059999999</v>
      </c>
    </row>
    <row r="19" spans="1:7" x14ac:dyDescent="0.3">
      <c r="B19" s="8" t="s">
        <v>457</v>
      </c>
      <c r="C19" s="47">
        <v>3.58</v>
      </c>
      <c r="D19" s="397">
        <v>229674.57</v>
      </c>
      <c r="E19" s="97">
        <f t="shared" si="0"/>
        <v>822234.96059999999</v>
      </c>
    </row>
    <row r="20" spans="1:7" x14ac:dyDescent="0.3">
      <c r="B20" s="8" t="s">
        <v>458</v>
      </c>
      <c r="C20" s="47">
        <v>3.58</v>
      </c>
      <c r="D20" s="397">
        <v>229674.57</v>
      </c>
      <c r="E20" s="97">
        <f t="shared" si="0"/>
        <v>822234.96059999999</v>
      </c>
    </row>
    <row r="21" spans="1:7" x14ac:dyDescent="0.3">
      <c r="B21" s="8" t="s">
        <v>459</v>
      </c>
      <c r="C21" s="47">
        <v>3.58</v>
      </c>
      <c r="D21" s="397">
        <v>229674.57</v>
      </c>
      <c r="E21" s="97">
        <f t="shared" si="0"/>
        <v>822234.96059999999</v>
      </c>
      <c r="F21" s="283"/>
    </row>
    <row r="22" spans="1:7" x14ac:dyDescent="0.3">
      <c r="B22" s="200" t="s">
        <v>460</v>
      </c>
      <c r="C22" s="200" t="s">
        <v>858</v>
      </c>
      <c r="D22" s="398"/>
      <c r="E22" s="98">
        <f>SUM(E10:E21)</f>
        <v>9574428.6119999997</v>
      </c>
    </row>
    <row r="23" spans="1:7" x14ac:dyDescent="0.3">
      <c r="B23" s="442" t="s">
        <v>857</v>
      </c>
      <c r="C23" s="200"/>
      <c r="D23" s="398"/>
      <c r="E23" s="98">
        <f>E22*1.2</f>
        <v>11489314.3344</v>
      </c>
    </row>
    <row r="24" spans="1:7" x14ac:dyDescent="0.3">
      <c r="A24" t="s">
        <v>864</v>
      </c>
      <c r="B24" s="200"/>
      <c r="C24" s="200"/>
      <c r="D24" s="200"/>
      <c r="E24" s="98"/>
    </row>
    <row r="25" spans="1:7" x14ac:dyDescent="0.3">
      <c r="B25" s="386"/>
      <c r="C25" s="386"/>
      <c r="D25" s="386"/>
      <c r="E25" s="98"/>
      <c r="G25" s="98"/>
    </row>
    <row r="26" spans="1:7" x14ac:dyDescent="0.3">
      <c r="B26" s="9" t="s">
        <v>466</v>
      </c>
    </row>
    <row r="29" spans="1:7" x14ac:dyDescent="0.3">
      <c r="B29" s="26" t="s">
        <v>686</v>
      </c>
    </row>
    <row r="30" spans="1:7" x14ac:dyDescent="0.3">
      <c r="B30" t="s">
        <v>861</v>
      </c>
    </row>
    <row r="32" spans="1:7" ht="90" customHeight="1" x14ac:dyDescent="0.3">
      <c r="B32" s="8" t="s">
        <v>445</v>
      </c>
      <c r="C32" s="96" t="s">
        <v>805</v>
      </c>
      <c r="D32" s="96" t="s">
        <v>461</v>
      </c>
      <c r="E32" s="96" t="s">
        <v>462</v>
      </c>
      <c r="F32" s="96" t="s">
        <v>859</v>
      </c>
      <c r="G32" s="96" t="s">
        <v>463</v>
      </c>
    </row>
    <row r="33" spans="2:7" x14ac:dyDescent="0.3">
      <c r="B33" s="8" t="s">
        <v>858</v>
      </c>
      <c r="C33" s="8">
        <v>21388.769</v>
      </c>
      <c r="D33" s="47">
        <v>7.02</v>
      </c>
      <c r="E33" s="97">
        <f>C33*D33%</f>
        <v>1501.4915837999999</v>
      </c>
      <c r="F33" s="8">
        <v>2256.65</v>
      </c>
      <c r="G33" s="377">
        <f>E33*F33</f>
        <v>3388340.9825822702</v>
      </c>
    </row>
    <row r="34" spans="2:7" x14ac:dyDescent="0.3">
      <c r="B34" s="6"/>
      <c r="C34" s="6"/>
      <c r="D34" s="6"/>
      <c r="E34" s="399"/>
      <c r="F34" s="411" t="s">
        <v>863</v>
      </c>
      <c r="G34" s="400">
        <f>G33*1.2</f>
        <v>4066009.1790987239</v>
      </c>
    </row>
    <row r="35" spans="2:7" x14ac:dyDescent="0.3">
      <c r="B35" s="6"/>
      <c r="C35" s="6"/>
      <c r="D35" s="6"/>
      <c r="E35" s="399"/>
      <c r="F35" s="6"/>
      <c r="G35" s="400"/>
    </row>
    <row r="36" spans="2:7" x14ac:dyDescent="0.3">
      <c r="B36" s="9"/>
    </row>
    <row r="37" spans="2:7" x14ac:dyDescent="0.3">
      <c r="B37" s="26" t="s">
        <v>860</v>
      </c>
      <c r="C37" s="26"/>
      <c r="E37" s="98">
        <f>E22+G33</f>
        <v>12962769.594582271</v>
      </c>
    </row>
    <row r="38" spans="2:7" x14ac:dyDescent="0.3">
      <c r="B38" s="26"/>
      <c r="C38" s="26"/>
      <c r="D38" s="26" t="s">
        <v>855</v>
      </c>
      <c r="E38" s="98">
        <f>E37*1.2</f>
        <v>15555323.513498724</v>
      </c>
      <c r="F38" s="282"/>
    </row>
    <row r="39" spans="2:7" x14ac:dyDescent="0.3">
      <c r="B39" s="26"/>
      <c r="C39" s="26"/>
      <c r="E39" s="98"/>
    </row>
    <row r="40" spans="2:7" x14ac:dyDescent="0.3">
      <c r="B40" s="9" t="s">
        <v>466</v>
      </c>
    </row>
    <row r="41" spans="2:7" x14ac:dyDescent="0.3">
      <c r="B41" s="9"/>
    </row>
    <row r="44" spans="2:7" x14ac:dyDescent="0.3">
      <c r="B44" s="26" t="s">
        <v>686</v>
      </c>
    </row>
    <row r="45" spans="2:7" x14ac:dyDescent="0.3">
      <c r="B45" t="s">
        <v>861</v>
      </c>
    </row>
    <row r="47" spans="2:7" ht="97.2" customHeight="1" x14ac:dyDescent="0.3">
      <c r="B47" s="8" t="s">
        <v>445</v>
      </c>
      <c r="C47" s="96" t="s">
        <v>805</v>
      </c>
      <c r="D47" s="48" t="s">
        <v>461</v>
      </c>
      <c r="E47" s="96" t="s">
        <v>462</v>
      </c>
      <c r="F47" s="96" t="s">
        <v>862</v>
      </c>
      <c r="G47" s="96" t="s">
        <v>463</v>
      </c>
    </row>
    <row r="48" spans="2:7" x14ac:dyDescent="0.3">
      <c r="B48" s="8" t="s">
        <v>448</v>
      </c>
      <c r="C48" s="401">
        <v>2739.78</v>
      </c>
      <c r="D48" s="48">
        <v>7.02</v>
      </c>
      <c r="E48" s="402">
        <f>C48*D48%</f>
        <v>192.33255600000001</v>
      </c>
      <c r="F48" s="403">
        <v>2256.65</v>
      </c>
      <c r="G48" s="404">
        <f>E48*F48</f>
        <v>434027.26249740005</v>
      </c>
    </row>
    <row r="49" spans="2:8" x14ac:dyDescent="0.3">
      <c r="B49" s="8" t="s">
        <v>449</v>
      </c>
      <c r="C49" s="401">
        <v>2551.134</v>
      </c>
      <c r="D49" s="48">
        <v>7.02</v>
      </c>
      <c r="E49" s="402">
        <f t="shared" ref="E49:E59" si="1">C49*D49%</f>
        <v>179.08960679999998</v>
      </c>
      <c r="F49" s="403">
        <v>2256.65</v>
      </c>
      <c r="G49" s="404">
        <f t="shared" ref="G49:G59" si="2">E49*F49</f>
        <v>404142.56118521997</v>
      </c>
    </row>
    <row r="50" spans="2:8" x14ac:dyDescent="0.3">
      <c r="B50" s="8" t="s">
        <v>450</v>
      </c>
      <c r="C50" s="401">
        <v>2360.6170000000002</v>
      </c>
      <c r="D50" s="48">
        <v>7.02</v>
      </c>
      <c r="E50" s="402">
        <f t="shared" si="1"/>
        <v>165.71531340000001</v>
      </c>
      <c r="F50" s="403">
        <v>2256.65</v>
      </c>
      <c r="G50" s="404">
        <f t="shared" si="2"/>
        <v>373961.46198411006</v>
      </c>
    </row>
    <row r="51" spans="2:8" x14ac:dyDescent="0.3">
      <c r="B51" s="8" t="s">
        <v>451</v>
      </c>
      <c r="C51" s="401">
        <v>1823.682</v>
      </c>
      <c r="D51" s="48">
        <v>7.02</v>
      </c>
      <c r="E51" s="402">
        <f t="shared" si="1"/>
        <v>128.02247639999999</v>
      </c>
      <c r="F51" s="403">
        <v>2256.65</v>
      </c>
      <c r="G51" s="404">
        <f t="shared" si="2"/>
        <v>288901.92136805999</v>
      </c>
    </row>
    <row r="52" spans="2:8" x14ac:dyDescent="0.3">
      <c r="B52" s="8" t="s">
        <v>452</v>
      </c>
      <c r="C52" s="401">
        <v>1507.1869999999999</v>
      </c>
      <c r="D52" s="48">
        <v>7.02</v>
      </c>
      <c r="E52" s="402">
        <f t="shared" si="1"/>
        <v>105.80452739999998</v>
      </c>
      <c r="F52" s="403">
        <v>2256.65</v>
      </c>
      <c r="G52" s="404">
        <f t="shared" si="2"/>
        <v>238763.78675720998</v>
      </c>
    </row>
    <row r="53" spans="2:8" x14ac:dyDescent="0.3">
      <c r="B53" s="8" t="s">
        <v>453</v>
      </c>
      <c r="C53" s="401">
        <v>1466.739</v>
      </c>
      <c r="D53" s="48">
        <v>7.02</v>
      </c>
      <c r="E53" s="402">
        <f t="shared" si="1"/>
        <v>102.9650778</v>
      </c>
      <c r="F53" s="403">
        <v>2256.65</v>
      </c>
      <c r="G53" s="404">
        <f t="shared" si="2"/>
        <v>232356.14281737001</v>
      </c>
    </row>
    <row r="54" spans="2:8" x14ac:dyDescent="0.3">
      <c r="B54" s="8" t="s">
        <v>454</v>
      </c>
      <c r="C54" s="401">
        <v>1346.3030000000001</v>
      </c>
      <c r="D54" s="48">
        <v>7.02</v>
      </c>
      <c r="E54" s="402">
        <f t="shared" si="1"/>
        <v>94.510470600000005</v>
      </c>
      <c r="F54" s="403">
        <v>2256.65</v>
      </c>
      <c r="G54" s="404">
        <f t="shared" si="2"/>
        <v>213277.05347949002</v>
      </c>
    </row>
    <row r="55" spans="2:8" x14ac:dyDescent="0.3">
      <c r="B55" s="8" t="s">
        <v>455</v>
      </c>
      <c r="C55" s="401">
        <v>1349.1410000000001</v>
      </c>
      <c r="D55" s="48">
        <v>7.02</v>
      </c>
      <c r="E55" s="402">
        <f t="shared" si="1"/>
        <v>94.709698200000005</v>
      </c>
      <c r="F55" s="403">
        <v>2256.65</v>
      </c>
      <c r="G55" s="404">
        <f t="shared" si="2"/>
        <v>213726.64044303002</v>
      </c>
    </row>
    <row r="56" spans="2:8" x14ac:dyDescent="0.3">
      <c r="B56" s="8" t="s">
        <v>456</v>
      </c>
      <c r="C56" s="401">
        <v>1122.1279999999999</v>
      </c>
      <c r="D56" s="48">
        <v>7.02</v>
      </c>
      <c r="E56" s="402">
        <f t="shared" si="1"/>
        <v>78.773385599999997</v>
      </c>
      <c r="F56" s="403">
        <v>2256.65</v>
      </c>
      <c r="G56" s="404">
        <f t="shared" si="2"/>
        <v>177763.96061424</v>
      </c>
    </row>
    <row r="57" spans="2:8" x14ac:dyDescent="0.3">
      <c r="B57" s="8" t="s">
        <v>457</v>
      </c>
      <c r="C57" s="401">
        <v>1304.0609999999999</v>
      </c>
      <c r="D57" s="48">
        <v>7.02</v>
      </c>
      <c r="E57" s="402">
        <f t="shared" si="1"/>
        <v>91.545082199999996</v>
      </c>
      <c r="F57" s="403">
        <v>2256.65</v>
      </c>
      <c r="G57" s="404">
        <f t="shared" si="2"/>
        <v>206585.20974662999</v>
      </c>
    </row>
    <row r="58" spans="2:8" x14ac:dyDescent="0.3">
      <c r="B58" s="8" t="s">
        <v>458</v>
      </c>
      <c r="C58" s="401">
        <v>1484.8150000000001</v>
      </c>
      <c r="D58" s="48">
        <v>7.02</v>
      </c>
      <c r="E58" s="402">
        <f t="shared" si="1"/>
        <v>104.234013</v>
      </c>
      <c r="F58" s="403">
        <v>2256.65</v>
      </c>
      <c r="G58" s="404">
        <f t="shared" si="2"/>
        <v>235219.68543645003</v>
      </c>
    </row>
    <row r="59" spans="2:8" x14ac:dyDescent="0.3">
      <c r="B59" s="8" t="s">
        <v>459</v>
      </c>
      <c r="C59" s="401">
        <v>2333.1819999999998</v>
      </c>
      <c r="D59" s="48">
        <v>7.02</v>
      </c>
      <c r="E59" s="402">
        <f t="shared" si="1"/>
        <v>163.78937639999998</v>
      </c>
      <c r="F59" s="403">
        <v>2256.65</v>
      </c>
      <c r="G59" s="404">
        <f t="shared" si="2"/>
        <v>369615.29625305999</v>
      </c>
    </row>
    <row r="60" spans="2:8" x14ac:dyDescent="0.3">
      <c r="B60" s="8" t="s">
        <v>858</v>
      </c>
      <c r="C60" s="405">
        <f>SUM(C48:C59)</f>
        <v>21388.769</v>
      </c>
      <c r="D60" s="94">
        <v>7.02</v>
      </c>
      <c r="E60" s="405">
        <f>C60*D60%</f>
        <v>1501.4915837999999</v>
      </c>
      <c r="F60" s="377">
        <f>G60/E60</f>
        <v>2256.6499999999996</v>
      </c>
      <c r="G60" s="377">
        <f>SUM(G48:G59)</f>
        <v>3388340.9825822692</v>
      </c>
      <c r="H60" s="406"/>
    </row>
    <row r="61" spans="2:8" x14ac:dyDescent="0.3">
      <c r="B61" s="6"/>
      <c r="C61" s="6"/>
      <c r="D61" s="6"/>
      <c r="E61" s="399"/>
      <c r="F61" s="6"/>
      <c r="G61" s="400"/>
    </row>
    <row r="62" spans="2:8" x14ac:dyDescent="0.3">
      <c r="B62" s="6"/>
      <c r="C62" s="6"/>
      <c r="D62" s="6"/>
      <c r="E62" s="399"/>
      <c r="F62" s="6"/>
      <c r="G62" s="400"/>
    </row>
    <row r="63" spans="2:8" x14ac:dyDescent="0.3">
      <c r="B63" s="9"/>
    </row>
    <row r="64" spans="2:8" x14ac:dyDescent="0.3">
      <c r="B64" s="26" t="s">
        <v>865</v>
      </c>
      <c r="C64" s="26"/>
      <c r="E64" s="98">
        <f>E38</f>
        <v>15555323.513498724</v>
      </c>
    </row>
    <row r="65" spans="2:5" x14ac:dyDescent="0.3">
      <c r="B65" s="26"/>
      <c r="C65" s="26"/>
      <c r="E65" s="98"/>
    </row>
    <row r="66" spans="2:5" x14ac:dyDescent="0.3">
      <c r="B66" s="26"/>
      <c r="C66" s="26"/>
      <c r="E66" s="98"/>
    </row>
    <row r="67" spans="2:5" x14ac:dyDescent="0.3">
      <c r="B67" s="9" t="s">
        <v>466</v>
      </c>
    </row>
  </sheetData>
  <mergeCells count="3">
    <mergeCell ref="B6:E6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"/>
  <sheetViews>
    <sheetView workbookViewId="0">
      <selection activeCell="G27" sqref="G27"/>
    </sheetView>
  </sheetViews>
  <sheetFormatPr defaultRowHeight="14.4" x14ac:dyDescent="0.3"/>
  <cols>
    <col min="1" max="1" width="5.21875" style="9" customWidth="1"/>
    <col min="2" max="2" width="10.77734375" style="9" customWidth="1"/>
    <col min="3" max="3" width="14.77734375" style="9" customWidth="1"/>
    <col min="4" max="5" width="12" style="9" customWidth="1"/>
    <col min="6" max="7" width="12.88671875" style="9" customWidth="1"/>
    <col min="8" max="8" width="11.6640625" style="9" customWidth="1"/>
    <col min="9" max="10" width="13.44140625" style="9" customWidth="1"/>
    <col min="11" max="16384" width="8.88671875" style="9"/>
  </cols>
  <sheetData>
    <row r="1" spans="1:10" x14ac:dyDescent="0.3">
      <c r="F1" s="418"/>
    </row>
    <row r="4" spans="1:10" ht="18" x14ac:dyDescent="0.35">
      <c r="B4" s="419" t="s">
        <v>835</v>
      </c>
      <c r="C4" s="419"/>
      <c r="D4" s="419"/>
      <c r="E4" s="419"/>
      <c r="F4" s="419"/>
      <c r="H4" s="419"/>
    </row>
    <row r="5" spans="1:10" x14ac:dyDescent="0.3">
      <c r="C5" s="9" t="s">
        <v>836</v>
      </c>
      <c r="E5" s="95" t="s">
        <v>719</v>
      </c>
      <c r="H5" s="9" t="s">
        <v>248</v>
      </c>
    </row>
    <row r="6" spans="1:10" x14ac:dyDescent="0.3">
      <c r="A6" s="47"/>
      <c r="B6" s="733" t="s">
        <v>809</v>
      </c>
      <c r="C6" s="734"/>
      <c r="D6" s="732" t="s">
        <v>367</v>
      </c>
      <c r="E6" s="732"/>
      <c r="F6" s="732"/>
      <c r="G6" s="732"/>
      <c r="H6" s="732"/>
      <c r="I6" s="732" t="s">
        <v>152</v>
      </c>
      <c r="J6" s="735" t="s">
        <v>837</v>
      </c>
    </row>
    <row r="7" spans="1:10" ht="43.2" x14ac:dyDescent="0.3">
      <c r="A7" s="47"/>
      <c r="B7" s="47" t="s">
        <v>838</v>
      </c>
      <c r="C7" s="47" t="s">
        <v>813</v>
      </c>
      <c r="D7" s="48" t="s">
        <v>814</v>
      </c>
      <c r="E7" s="48" t="s">
        <v>815</v>
      </c>
      <c r="F7" s="48" t="s">
        <v>839</v>
      </c>
      <c r="G7" s="48" t="s">
        <v>817</v>
      </c>
      <c r="H7" s="48" t="s">
        <v>840</v>
      </c>
      <c r="I7" s="732"/>
      <c r="J7" s="735"/>
    </row>
    <row r="8" spans="1:10" x14ac:dyDescent="0.3">
      <c r="A8" s="47">
        <v>1</v>
      </c>
      <c r="B8" s="47">
        <v>164270</v>
      </c>
      <c r="C8" s="204">
        <v>1050199.23</v>
      </c>
      <c r="D8" s="47">
        <v>3.09</v>
      </c>
      <c r="E8" s="47">
        <v>192746.05</v>
      </c>
      <c r="F8" s="204">
        <f t="shared" ref="F8:F13" si="0">D8*E8</f>
        <v>595585.29449999996</v>
      </c>
      <c r="G8" s="47">
        <v>2767.48</v>
      </c>
      <c r="H8" s="204">
        <f>B8*G8/1000</f>
        <v>454613.93960000004</v>
      </c>
      <c r="I8" s="204">
        <f>F8+H8</f>
        <v>1050199.2341</v>
      </c>
      <c r="J8" s="204">
        <f>I8*1.2</f>
        <v>1260239.0809199999</v>
      </c>
    </row>
    <row r="9" spans="1:10" x14ac:dyDescent="0.3">
      <c r="A9" s="47">
        <v>2</v>
      </c>
      <c r="B9" s="47">
        <v>132754</v>
      </c>
      <c r="C9" s="47">
        <v>895175.22</v>
      </c>
      <c r="D9" s="47">
        <v>3.09</v>
      </c>
      <c r="E9" s="47">
        <v>192746.05</v>
      </c>
      <c r="F9" s="204">
        <f t="shared" si="0"/>
        <v>595585.29449999996</v>
      </c>
      <c r="G9" s="204">
        <v>2256.73</v>
      </c>
      <c r="H9" s="204">
        <f t="shared" ref="H9:H19" si="1">B9*G9/1000</f>
        <v>299589.93442000001</v>
      </c>
      <c r="I9" s="204">
        <f>F9+H9-0.01</f>
        <v>895175.2189199999</v>
      </c>
      <c r="J9" s="204">
        <f>I9*1.2</f>
        <v>1074210.2627039999</v>
      </c>
    </row>
    <row r="10" spans="1:10" x14ac:dyDescent="0.3">
      <c r="A10" s="47">
        <v>3</v>
      </c>
      <c r="B10" s="47">
        <v>126556</v>
      </c>
      <c r="C10" s="47">
        <v>964208.75</v>
      </c>
      <c r="D10" s="47">
        <v>3.09</v>
      </c>
      <c r="E10" s="47">
        <v>192746.05</v>
      </c>
      <c r="F10" s="204">
        <f t="shared" si="0"/>
        <v>595585.29449999996</v>
      </c>
      <c r="G10" s="47">
        <v>2912.73</v>
      </c>
      <c r="H10" s="204">
        <f t="shared" si="1"/>
        <v>368623.45788</v>
      </c>
      <c r="I10" s="204">
        <f t="shared" ref="I10" si="2">F10+H10</f>
        <v>964208.75237999996</v>
      </c>
      <c r="J10" s="204">
        <f>I10*1.2-0.01</f>
        <v>1157050.4928559999</v>
      </c>
    </row>
    <row r="11" spans="1:10" x14ac:dyDescent="0.3">
      <c r="A11" s="47">
        <v>4</v>
      </c>
      <c r="B11" s="47">
        <v>102681</v>
      </c>
      <c r="C11" s="204">
        <v>853245.8</v>
      </c>
      <c r="D11" s="47">
        <v>3.09</v>
      </c>
      <c r="E11" s="47">
        <v>192746.05</v>
      </c>
      <c r="F11" s="204">
        <f t="shared" si="0"/>
        <v>595585.29449999996</v>
      </c>
      <c r="G11" s="47">
        <v>2509.33</v>
      </c>
      <c r="H11" s="204">
        <f t="shared" si="1"/>
        <v>257660.51372999998</v>
      </c>
      <c r="I11" s="204">
        <f>F11+H11-0.01</f>
        <v>853245.79822999996</v>
      </c>
      <c r="J11" s="204">
        <f>I11*1.2</f>
        <v>1023894.9578759999</v>
      </c>
    </row>
    <row r="12" spans="1:10" x14ac:dyDescent="0.3">
      <c r="A12" s="47">
        <v>5</v>
      </c>
      <c r="B12" s="47">
        <v>90988</v>
      </c>
      <c r="C12" s="204">
        <v>712003.53</v>
      </c>
      <c r="D12" s="47">
        <v>3.09</v>
      </c>
      <c r="E12" s="47">
        <v>192746.05</v>
      </c>
      <c r="F12" s="204">
        <f t="shared" si="0"/>
        <v>595585.29449999996</v>
      </c>
      <c r="G12" s="47">
        <v>1279.49</v>
      </c>
      <c r="H12" s="204">
        <f t="shared" si="1"/>
        <v>116418.23612</v>
      </c>
      <c r="I12" s="204">
        <f>F12+H12</f>
        <v>712003.53061999998</v>
      </c>
      <c r="J12" s="204">
        <f t="shared" ref="J12:J19" si="3">I12*1.2</f>
        <v>854404.23674399999</v>
      </c>
    </row>
    <row r="13" spans="1:10" x14ac:dyDescent="0.3">
      <c r="A13" s="47">
        <v>6</v>
      </c>
      <c r="B13" s="47">
        <v>56351</v>
      </c>
      <c r="C13" s="204">
        <v>687396.28</v>
      </c>
      <c r="D13" s="47">
        <v>3.09</v>
      </c>
      <c r="E13" s="47">
        <v>192746.05</v>
      </c>
      <c r="F13" s="204">
        <f t="shared" si="0"/>
        <v>595585.29449999996</v>
      </c>
      <c r="G13" s="47">
        <v>1629.27</v>
      </c>
      <c r="H13" s="204">
        <f t="shared" si="1"/>
        <v>91810.993770000001</v>
      </c>
      <c r="I13" s="204">
        <f>F13+H13-0.01</f>
        <v>687396.27826999989</v>
      </c>
      <c r="J13" s="204">
        <f>I13*1.2+0.01</f>
        <v>824875.54392399988</v>
      </c>
    </row>
    <row r="14" spans="1:10" x14ac:dyDescent="0.3">
      <c r="A14" s="47">
        <v>7</v>
      </c>
      <c r="B14" s="47">
        <v>53167</v>
      </c>
      <c r="C14" s="204">
        <v>676625.61</v>
      </c>
      <c r="D14" s="47">
        <v>3.09</v>
      </c>
      <c r="E14" s="47">
        <v>203257.28</v>
      </c>
      <c r="F14" s="204">
        <f>D14*E14</f>
        <v>628064.9952</v>
      </c>
      <c r="G14" s="204">
        <v>913.36</v>
      </c>
      <c r="H14" s="204">
        <f t="shared" si="1"/>
        <v>48560.611119999994</v>
      </c>
      <c r="I14" s="204">
        <f>F14+H14</f>
        <v>676625.60632000002</v>
      </c>
      <c r="J14" s="204">
        <f t="shared" ref="J14:J17" si="4">I14*1.2</f>
        <v>811950.72758399998</v>
      </c>
    </row>
    <row r="15" spans="1:10" x14ac:dyDescent="0.3">
      <c r="A15" s="47">
        <v>8</v>
      </c>
      <c r="B15" s="47">
        <v>68263</v>
      </c>
      <c r="C15" s="204">
        <v>732344.24</v>
      </c>
      <c r="D15" s="47">
        <v>3.09</v>
      </c>
      <c r="E15" s="47">
        <v>203257.28</v>
      </c>
      <c r="F15" s="204">
        <f t="shared" ref="F15:F19" si="5">D15*E15</f>
        <v>628064.9952</v>
      </c>
      <c r="G15" s="204">
        <v>1527.61</v>
      </c>
      <c r="H15" s="204">
        <f t="shared" si="1"/>
        <v>104279.24142999999</v>
      </c>
      <c r="I15" s="204">
        <f>F15+H15</f>
        <v>732344.23662999994</v>
      </c>
      <c r="J15" s="204">
        <f>I15*1.2+0.01</f>
        <v>878813.09395599994</v>
      </c>
    </row>
    <row r="16" spans="1:10" x14ac:dyDescent="0.3">
      <c r="A16" s="47">
        <v>9</v>
      </c>
      <c r="B16" s="47">
        <v>76361</v>
      </c>
      <c r="C16" s="204">
        <v>789302.78</v>
      </c>
      <c r="D16" s="47">
        <v>3.09</v>
      </c>
      <c r="E16" s="47">
        <v>203257.28</v>
      </c>
      <c r="F16" s="204">
        <f t="shared" si="5"/>
        <v>628064.9952</v>
      </c>
      <c r="G16" s="204">
        <v>2111.52</v>
      </c>
      <c r="H16" s="204">
        <f t="shared" si="1"/>
        <v>161237.77872</v>
      </c>
      <c r="I16" s="204">
        <f>F16+H16+0.01</f>
        <v>789302.78392000007</v>
      </c>
      <c r="J16" s="204">
        <f t="shared" si="4"/>
        <v>947163.34070400009</v>
      </c>
    </row>
    <row r="17" spans="1:10" x14ac:dyDescent="0.3">
      <c r="A17" s="47">
        <v>10</v>
      </c>
      <c r="B17" s="47">
        <v>105796</v>
      </c>
      <c r="C17" s="47">
        <v>923222.09</v>
      </c>
      <c r="D17" s="47">
        <v>3.09</v>
      </c>
      <c r="E17" s="47">
        <v>203257.28</v>
      </c>
      <c r="F17" s="204">
        <f t="shared" si="5"/>
        <v>628064.9952</v>
      </c>
      <c r="G17" s="204">
        <v>2789.87</v>
      </c>
      <c r="H17" s="204">
        <f t="shared" si="1"/>
        <v>295157.08651999995</v>
      </c>
      <c r="I17" s="204">
        <f>F17+H17+0.01</f>
        <v>923222.09171999991</v>
      </c>
      <c r="J17" s="204">
        <f t="shared" si="4"/>
        <v>1107866.5100639998</v>
      </c>
    </row>
    <row r="18" spans="1:10" x14ac:dyDescent="0.3">
      <c r="A18" s="47">
        <v>11</v>
      </c>
      <c r="B18" s="47">
        <v>121174</v>
      </c>
      <c r="C18" s="204">
        <v>864794.16</v>
      </c>
      <c r="D18" s="47">
        <v>3.09</v>
      </c>
      <c r="E18" s="47">
        <v>203257.28</v>
      </c>
      <c r="F18" s="204">
        <f t="shared" si="5"/>
        <v>628064.9952</v>
      </c>
      <c r="G18" s="204">
        <v>1953.63</v>
      </c>
      <c r="H18" s="204">
        <f t="shared" si="1"/>
        <v>236729.16162</v>
      </c>
      <c r="I18" s="204">
        <f>F18+H18</f>
        <v>864794.15682000003</v>
      </c>
      <c r="J18" s="204">
        <f>I18*1.2</f>
        <v>1037752.988184</v>
      </c>
    </row>
    <row r="19" spans="1:10" x14ac:dyDescent="0.3">
      <c r="A19" s="47">
        <v>12</v>
      </c>
      <c r="B19" s="47">
        <v>148797</v>
      </c>
      <c r="C19" s="47">
        <v>1007781.55</v>
      </c>
      <c r="D19" s="47">
        <v>3.09</v>
      </c>
      <c r="E19" s="47">
        <v>203257.28</v>
      </c>
      <c r="F19" s="204">
        <f t="shared" si="5"/>
        <v>628064.9952</v>
      </c>
      <c r="G19" s="204">
        <v>2551.91</v>
      </c>
      <c r="H19" s="204">
        <f t="shared" si="1"/>
        <v>379716.55226999999</v>
      </c>
      <c r="I19" s="204">
        <f t="shared" ref="I19" si="6">F19+H19</f>
        <v>1007781.54747</v>
      </c>
      <c r="J19" s="204">
        <f t="shared" si="3"/>
        <v>1209337.856964</v>
      </c>
    </row>
    <row r="20" spans="1:10" x14ac:dyDescent="0.3">
      <c r="A20" s="47" t="s">
        <v>567</v>
      </c>
      <c r="B20" s="94">
        <f>SUM(B8:B19)</f>
        <v>1247158</v>
      </c>
      <c r="C20" s="94">
        <f t="shared" ref="C20" si="7">SUM(C8:C19)</f>
        <v>10156299.240000002</v>
      </c>
      <c r="D20" s="47"/>
      <c r="E20" s="47"/>
      <c r="F20" s="209">
        <f t="shared" ref="F20" si="8">SUM(F8:F19)</f>
        <v>7341901.7381999986</v>
      </c>
      <c r="G20" s="209">
        <f>H20/B20*1000</f>
        <v>2256.64872229501</v>
      </c>
      <c r="H20" s="209">
        <f t="shared" ref="H20" si="9">SUM(H8:H19)</f>
        <v>2814397.5071999999</v>
      </c>
      <c r="I20" s="209">
        <f>SUM(I8:I19)</f>
        <v>10156299.235399999</v>
      </c>
      <c r="J20" s="209">
        <f>SUM(J8:J19)</f>
        <v>12187559.092479998</v>
      </c>
    </row>
    <row r="23" spans="1:10" x14ac:dyDescent="0.3">
      <c r="A23" s="9" t="s">
        <v>9</v>
      </c>
      <c r="F23" s="9" t="s">
        <v>537</v>
      </c>
    </row>
  </sheetData>
  <mergeCells count="4">
    <mergeCell ref="B6:C6"/>
    <mergeCell ref="D6:H6"/>
    <mergeCell ref="I6:I7"/>
    <mergeCell ref="J6:J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7"/>
  <sheetViews>
    <sheetView workbookViewId="0">
      <selection activeCell="K24" sqref="A1:K24"/>
    </sheetView>
  </sheetViews>
  <sheetFormatPr defaultRowHeight="14.4" outlineLevelCol="1" x14ac:dyDescent="0.3"/>
  <cols>
    <col min="1" max="1" width="5.77734375" customWidth="1"/>
    <col min="2" max="2" width="10.21875" customWidth="1"/>
    <col min="3" max="3" width="10.21875" customWidth="1" outlineLevel="1"/>
    <col min="4" max="4" width="12.77734375" customWidth="1" outlineLevel="1"/>
    <col min="5" max="5" width="12.109375" customWidth="1" outlineLevel="1"/>
    <col min="6" max="6" width="14" customWidth="1" outlineLevel="1"/>
    <col min="7" max="7" width="13" customWidth="1" outlineLevel="1"/>
    <col min="8" max="8" width="12.44140625" customWidth="1" outlineLevel="1"/>
    <col min="9" max="9" width="13.77734375" customWidth="1" outlineLevel="1"/>
    <col min="10" max="10" width="11.77734375" customWidth="1" outlineLevel="1"/>
    <col min="11" max="11" width="12.21875" customWidth="1"/>
  </cols>
  <sheetData>
    <row r="1" spans="1:13" ht="18" x14ac:dyDescent="0.35">
      <c r="D1" s="180" t="s">
        <v>819</v>
      </c>
    </row>
    <row r="2" spans="1:13" x14ac:dyDescent="0.3">
      <c r="A2" s="412" t="s">
        <v>820</v>
      </c>
      <c r="B2" s="412"/>
      <c r="C2" s="412"/>
      <c r="D2" s="412"/>
      <c r="E2" s="412"/>
    </row>
    <row r="3" spans="1:13" x14ac:dyDescent="0.3">
      <c r="A3" s="412" t="s">
        <v>821</v>
      </c>
      <c r="B3" s="412"/>
      <c r="C3" s="412"/>
      <c r="D3" s="412"/>
      <c r="E3" s="412"/>
    </row>
    <row r="5" spans="1:13" x14ac:dyDescent="0.3">
      <c r="A5" s="200" t="s">
        <v>822</v>
      </c>
      <c r="B5" s="200"/>
      <c r="C5" s="200"/>
      <c r="D5" s="200"/>
      <c r="E5" s="200"/>
    </row>
    <row r="6" spans="1:13" x14ac:dyDescent="0.3">
      <c r="A6" s="200" t="s">
        <v>823</v>
      </c>
      <c r="B6" s="200"/>
      <c r="C6" s="200"/>
      <c r="D6" s="200"/>
      <c r="E6" s="200"/>
    </row>
    <row r="7" spans="1:13" x14ac:dyDescent="0.3">
      <c r="A7" s="413" t="s">
        <v>824</v>
      </c>
      <c r="B7" s="413"/>
      <c r="C7" s="413"/>
      <c r="D7" s="413"/>
      <c r="E7" s="413"/>
    </row>
    <row r="8" spans="1:13" x14ac:dyDescent="0.3">
      <c r="A8" s="26"/>
    </row>
    <row r="9" spans="1:13" ht="162" customHeight="1" x14ac:dyDescent="0.3">
      <c r="A9" s="8" t="s">
        <v>825</v>
      </c>
      <c r="B9" s="96" t="s">
        <v>826</v>
      </c>
      <c r="C9" s="96" t="s">
        <v>827</v>
      </c>
      <c r="D9" s="96" t="s">
        <v>828</v>
      </c>
      <c r="E9" s="96" t="s">
        <v>829</v>
      </c>
      <c r="F9" s="96" t="s">
        <v>830</v>
      </c>
      <c r="G9" s="96" t="s">
        <v>828</v>
      </c>
      <c r="H9" s="96" t="s">
        <v>831</v>
      </c>
      <c r="I9" s="96" t="s">
        <v>832</v>
      </c>
      <c r="J9" s="8" t="s">
        <v>833</v>
      </c>
      <c r="K9" s="96" t="s">
        <v>834</v>
      </c>
    </row>
    <row r="10" spans="1:13" x14ac:dyDescent="0.3">
      <c r="A10" s="8">
        <v>1</v>
      </c>
      <c r="B10" s="8">
        <v>1582330</v>
      </c>
      <c r="C10" s="8">
        <v>1660000</v>
      </c>
      <c r="D10" s="97">
        <f t="shared" ref="D10:D20" si="0">B10*E10</f>
        <v>3175989.4827999999</v>
      </c>
      <c r="E10" s="414">
        <v>2.0071599999999998</v>
      </c>
      <c r="F10" s="8"/>
      <c r="G10" s="97">
        <f>F10*H10</f>
        <v>0</v>
      </c>
      <c r="H10" s="414"/>
      <c r="I10" s="97">
        <f t="shared" ref="I10:I18" si="1">D10+G10</f>
        <v>3175989.4827999999</v>
      </c>
      <c r="J10" s="97">
        <f>I10*20%</f>
        <v>635197.89656000002</v>
      </c>
      <c r="K10" s="97">
        <f t="shared" ref="K10:K11" si="2">I10+J10</f>
        <v>3811187.3793599997</v>
      </c>
      <c r="L10" s="9"/>
      <c r="M10" s="415"/>
    </row>
    <row r="11" spans="1:13" x14ac:dyDescent="0.3">
      <c r="A11" s="8">
        <v>2</v>
      </c>
      <c r="B11" s="8">
        <v>1148955</v>
      </c>
      <c r="C11" s="8">
        <v>1520000</v>
      </c>
      <c r="D11" s="97">
        <f t="shared" si="0"/>
        <v>2453478.5070000002</v>
      </c>
      <c r="E11" s="414">
        <v>2.1354000000000002</v>
      </c>
      <c r="F11" s="8"/>
      <c r="G11" s="97">
        <f>F11*H11</f>
        <v>0</v>
      </c>
      <c r="H11" s="414"/>
      <c r="I11" s="97">
        <f t="shared" si="1"/>
        <v>2453478.5070000002</v>
      </c>
      <c r="J11" s="97">
        <f t="shared" ref="J11:J21" si="3">I11*20%</f>
        <v>490695.70140000008</v>
      </c>
      <c r="K11" s="204">
        <f t="shared" si="2"/>
        <v>2944174.2084000004</v>
      </c>
      <c r="L11" s="9"/>
      <c r="M11" s="415"/>
    </row>
    <row r="12" spans="1:13" x14ac:dyDescent="0.3">
      <c r="A12" s="8">
        <v>3</v>
      </c>
      <c r="B12" s="8">
        <v>1332083</v>
      </c>
      <c r="C12" s="8">
        <v>1490000</v>
      </c>
      <c r="D12" s="97">
        <f t="shared" si="0"/>
        <v>2688636.3647099999</v>
      </c>
      <c r="E12" s="414">
        <v>2.01837</v>
      </c>
      <c r="F12" s="8"/>
      <c r="G12" s="97">
        <f t="shared" ref="G12:G21" si="4">F12*H12</f>
        <v>0</v>
      </c>
      <c r="H12" s="414"/>
      <c r="I12" s="97">
        <f t="shared" si="1"/>
        <v>2688636.3647099999</v>
      </c>
      <c r="J12" s="97">
        <f t="shared" si="3"/>
        <v>537727.27294199995</v>
      </c>
      <c r="K12" s="204">
        <f>I12+J12-0.01</f>
        <v>3226363.6276520002</v>
      </c>
      <c r="L12" s="415"/>
      <c r="M12" s="415"/>
    </row>
    <row r="13" spans="1:13" x14ac:dyDescent="0.3">
      <c r="A13" s="8">
        <v>4</v>
      </c>
      <c r="B13" s="8">
        <v>953869</v>
      </c>
      <c r="C13" s="8">
        <v>990000</v>
      </c>
      <c r="D13" s="97">
        <f t="shared" si="0"/>
        <v>1891989.6228100001</v>
      </c>
      <c r="E13" s="414">
        <v>1.98349</v>
      </c>
      <c r="F13" s="8"/>
      <c r="G13" s="97">
        <f t="shared" si="4"/>
        <v>0</v>
      </c>
      <c r="H13" s="414"/>
      <c r="I13" s="97">
        <f t="shared" si="1"/>
        <v>1891989.6228100001</v>
      </c>
      <c r="J13" s="97">
        <f t="shared" si="3"/>
        <v>378397.92456200003</v>
      </c>
      <c r="K13" s="204">
        <f>I13+J13-0.01</f>
        <v>2270387.5373720005</v>
      </c>
      <c r="L13" s="9"/>
      <c r="M13" s="415"/>
    </row>
    <row r="14" spans="1:13" x14ac:dyDescent="0.3">
      <c r="A14" s="8">
        <v>5</v>
      </c>
      <c r="B14" s="8">
        <f>800000+348321</f>
        <v>1148321</v>
      </c>
      <c r="C14" s="8">
        <v>800000</v>
      </c>
      <c r="D14" s="97">
        <f>C14*E14</f>
        <v>1556464</v>
      </c>
      <c r="E14" s="414">
        <v>1.9455800000000001</v>
      </c>
      <c r="F14" s="8">
        <v>348321</v>
      </c>
      <c r="G14" s="97">
        <f t="shared" si="4"/>
        <v>646873.89552000002</v>
      </c>
      <c r="H14" s="414">
        <v>1.8571200000000001</v>
      </c>
      <c r="I14" s="97">
        <f t="shared" si="1"/>
        <v>2203337.8955199998</v>
      </c>
      <c r="J14" s="97">
        <f t="shared" si="3"/>
        <v>440667.579104</v>
      </c>
      <c r="K14" s="204">
        <f>I14+J14+0.01</f>
        <v>2644005.4846239993</v>
      </c>
      <c r="L14" s="415"/>
      <c r="M14" s="415"/>
    </row>
    <row r="15" spans="1:13" x14ac:dyDescent="0.3">
      <c r="A15" s="8">
        <v>6</v>
      </c>
      <c r="B15" s="8">
        <v>341801</v>
      </c>
      <c r="C15" s="8">
        <v>700000</v>
      </c>
      <c r="D15" s="97">
        <f t="shared" si="0"/>
        <v>515538.44829999999</v>
      </c>
      <c r="E15" s="414">
        <v>1.5083</v>
      </c>
      <c r="F15" s="8"/>
      <c r="G15" s="97">
        <f t="shared" si="4"/>
        <v>0</v>
      </c>
      <c r="H15" s="414"/>
      <c r="I15" s="97">
        <f t="shared" si="1"/>
        <v>515538.44829999999</v>
      </c>
      <c r="J15" s="97">
        <f t="shared" si="3"/>
        <v>103107.68966</v>
      </c>
      <c r="K15" s="204">
        <f t="shared" ref="K15:K20" si="5">I15+J15</f>
        <v>618646.13795999996</v>
      </c>
      <c r="L15" s="415"/>
      <c r="M15" s="415"/>
    </row>
    <row r="16" spans="1:13" x14ac:dyDescent="0.3">
      <c r="A16" s="8">
        <v>7</v>
      </c>
      <c r="B16" s="8">
        <v>505309</v>
      </c>
      <c r="C16" s="8">
        <v>620000</v>
      </c>
      <c r="D16" s="97">
        <f t="shared" si="0"/>
        <v>774775.1304299999</v>
      </c>
      <c r="E16" s="414">
        <v>1.5332699999999999</v>
      </c>
      <c r="F16" s="8"/>
      <c r="G16" s="97">
        <f t="shared" si="4"/>
        <v>0</v>
      </c>
      <c r="H16" s="414"/>
      <c r="I16" s="97">
        <f t="shared" si="1"/>
        <v>774775.1304299999</v>
      </c>
      <c r="J16" s="97">
        <f t="shared" si="3"/>
        <v>154955.026086</v>
      </c>
      <c r="K16" s="204">
        <f t="shared" si="5"/>
        <v>929730.15651599993</v>
      </c>
      <c r="L16" s="415"/>
      <c r="M16" s="415"/>
    </row>
    <row r="17" spans="1:13" x14ac:dyDescent="0.3">
      <c r="A17" s="8">
        <v>8</v>
      </c>
      <c r="B17" s="8">
        <v>495151</v>
      </c>
      <c r="C17" s="8">
        <v>620000</v>
      </c>
      <c r="D17" s="97">
        <f t="shared" si="0"/>
        <v>802154.52301999996</v>
      </c>
      <c r="E17" s="414">
        <v>1.62002</v>
      </c>
      <c r="F17" s="8"/>
      <c r="G17" s="97">
        <f t="shared" si="4"/>
        <v>0</v>
      </c>
      <c r="H17" s="414"/>
      <c r="I17" s="97">
        <f t="shared" si="1"/>
        <v>802154.52301999996</v>
      </c>
      <c r="J17" s="97">
        <f t="shared" si="3"/>
        <v>160430.90460400001</v>
      </c>
      <c r="K17" s="204">
        <f>I17+J17-0.01</f>
        <v>962585.41762399999</v>
      </c>
      <c r="M17" s="415"/>
    </row>
    <row r="18" spans="1:13" x14ac:dyDescent="0.3">
      <c r="A18" s="8">
        <v>9</v>
      </c>
      <c r="B18" s="8">
        <v>728041</v>
      </c>
      <c r="C18" s="8">
        <v>1150000</v>
      </c>
      <c r="D18" s="97">
        <f t="shared" si="0"/>
        <v>1410477.5117599999</v>
      </c>
      <c r="E18" s="414">
        <v>1.93736</v>
      </c>
      <c r="F18" s="8"/>
      <c r="G18" s="97">
        <f t="shared" si="4"/>
        <v>0</v>
      </c>
      <c r="H18" s="414"/>
      <c r="I18" s="97">
        <f t="shared" si="1"/>
        <v>1410477.5117599999</v>
      </c>
      <c r="J18" s="97">
        <f t="shared" si="3"/>
        <v>282095.50235199998</v>
      </c>
      <c r="K18" s="204">
        <f t="shared" si="5"/>
        <v>1692573.0141119999</v>
      </c>
      <c r="M18" s="415"/>
    </row>
    <row r="19" spans="1:13" x14ac:dyDescent="0.3">
      <c r="A19" s="8">
        <v>10</v>
      </c>
      <c r="B19" s="8">
        <v>713933</v>
      </c>
      <c r="C19" s="8">
        <v>740000</v>
      </c>
      <c r="D19" s="97">
        <f t="shared" si="0"/>
        <v>1440980.94921</v>
      </c>
      <c r="E19" s="414">
        <v>2.01837</v>
      </c>
      <c r="F19" s="8"/>
      <c r="G19" s="97">
        <f t="shared" si="4"/>
        <v>0</v>
      </c>
      <c r="H19" s="414"/>
      <c r="I19" s="97">
        <f>B19*E19</f>
        <v>1440980.94921</v>
      </c>
      <c r="J19" s="97">
        <f t="shared" si="3"/>
        <v>288196.18984200002</v>
      </c>
      <c r="K19" s="204">
        <f>I19+J19</f>
        <v>1729177.1390519999</v>
      </c>
      <c r="M19" s="415"/>
    </row>
    <row r="20" spans="1:13" x14ac:dyDescent="0.3">
      <c r="A20" s="8">
        <v>11</v>
      </c>
      <c r="B20" s="8">
        <v>1157123</v>
      </c>
      <c r="C20" s="8">
        <v>1410000</v>
      </c>
      <c r="D20" s="97">
        <f t="shared" si="0"/>
        <v>2322611.9992899997</v>
      </c>
      <c r="E20" s="414">
        <v>2.0072299999999998</v>
      </c>
      <c r="F20" s="8"/>
      <c r="G20" s="97">
        <f t="shared" si="4"/>
        <v>0</v>
      </c>
      <c r="H20" s="414"/>
      <c r="I20" s="97">
        <f>D20+G20</f>
        <v>2322611.9992899997</v>
      </c>
      <c r="J20" s="97">
        <f t="shared" si="3"/>
        <v>464522.39985799999</v>
      </c>
      <c r="K20" s="204">
        <f t="shared" si="5"/>
        <v>2787134.3991479995</v>
      </c>
      <c r="M20" s="415"/>
    </row>
    <row r="21" spans="1:13" x14ac:dyDescent="0.3">
      <c r="A21" s="8">
        <v>12</v>
      </c>
      <c r="B21" s="8">
        <v>2139451</v>
      </c>
      <c r="C21" s="47">
        <v>2330000</v>
      </c>
      <c r="D21" s="97">
        <f>B21*E21</f>
        <v>4445222.92074</v>
      </c>
      <c r="E21" s="414">
        <v>2.0777399999999999</v>
      </c>
      <c r="F21" s="47"/>
      <c r="G21" s="204">
        <f t="shared" si="4"/>
        <v>0</v>
      </c>
      <c r="H21" s="416"/>
      <c r="I21" s="204">
        <f>D21+G21</f>
        <v>4445222.92074</v>
      </c>
      <c r="J21" s="97">
        <f t="shared" si="3"/>
        <v>889044.58414799999</v>
      </c>
      <c r="K21" s="204">
        <f>I21+J21</f>
        <v>5334267.504888</v>
      </c>
      <c r="M21" s="415"/>
    </row>
    <row r="22" spans="1:13" x14ac:dyDescent="0.3">
      <c r="A22" s="8" t="s">
        <v>152</v>
      </c>
      <c r="B22" s="86">
        <f>SUM(B10:B21)</f>
        <v>12246367</v>
      </c>
      <c r="C22" s="86">
        <f>SUM(C10:C21)</f>
        <v>14030000</v>
      </c>
      <c r="D22" s="377">
        <f>SUM(D10:D21)</f>
        <v>23478319.460069999</v>
      </c>
      <c r="E22" s="417">
        <f>I22/B22</f>
        <v>1.9699877813224118</v>
      </c>
      <c r="F22" s="86">
        <f>SUM(F10:F21)</f>
        <v>348321</v>
      </c>
      <c r="G22" s="377">
        <f>SUM(G10:G21)</f>
        <v>646873.89552000002</v>
      </c>
      <c r="H22" s="377"/>
      <c r="I22" s="377">
        <f>SUM(I10:I21)</f>
        <v>24125193.355590001</v>
      </c>
      <c r="J22" s="377">
        <f t="shared" ref="J22:K22" si="6">SUM(J10:J21)</f>
        <v>4825038.6711180005</v>
      </c>
      <c r="K22" s="377">
        <f t="shared" si="6"/>
        <v>28950232.006707996</v>
      </c>
    </row>
    <row r="24" spans="1:13" x14ac:dyDescent="0.3">
      <c r="B24" t="s">
        <v>9</v>
      </c>
      <c r="E24" t="s">
        <v>537</v>
      </c>
    </row>
    <row r="27" spans="1:13" x14ac:dyDescent="0.3">
      <c r="I27" s="282"/>
      <c r="K27" s="282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1"/>
  <sheetViews>
    <sheetView workbookViewId="0">
      <selection activeCell="M20" sqref="M20"/>
    </sheetView>
  </sheetViews>
  <sheetFormatPr defaultRowHeight="14.4" x14ac:dyDescent="0.3"/>
  <cols>
    <col min="1" max="1" width="4.6640625" customWidth="1"/>
    <col min="2" max="2" width="10.88671875" customWidth="1"/>
    <col min="3" max="3" width="13.109375" customWidth="1"/>
    <col min="4" max="4" width="7.21875" customWidth="1"/>
    <col min="5" max="5" width="11.21875" customWidth="1"/>
    <col min="6" max="6" width="12" customWidth="1"/>
    <col min="7" max="7" width="10.44140625" customWidth="1"/>
    <col min="8" max="8" width="11.5546875" customWidth="1"/>
    <col min="9" max="9" width="13.21875" customWidth="1"/>
    <col min="10" max="10" width="12.77734375" customWidth="1"/>
    <col min="12" max="12" width="13.44140625" customWidth="1"/>
  </cols>
  <sheetData>
    <row r="2" spans="1:10" ht="18" x14ac:dyDescent="0.35">
      <c r="A2" s="180" t="s">
        <v>806</v>
      </c>
    </row>
    <row r="3" spans="1:10" ht="18" x14ac:dyDescent="0.35">
      <c r="A3" s="180" t="s">
        <v>807</v>
      </c>
      <c r="E3" s="180" t="s">
        <v>808</v>
      </c>
      <c r="H3" t="s">
        <v>248</v>
      </c>
    </row>
    <row r="4" spans="1:10" x14ac:dyDescent="0.3">
      <c r="A4" s="8"/>
      <c r="B4" s="737" t="s">
        <v>809</v>
      </c>
      <c r="C4" s="738"/>
      <c r="D4" s="736" t="s">
        <v>367</v>
      </c>
      <c r="E4" s="736"/>
      <c r="F4" s="736"/>
      <c r="G4" s="736"/>
      <c r="H4" s="736"/>
      <c r="I4" s="736" t="s">
        <v>545</v>
      </c>
      <c r="J4" s="736" t="s">
        <v>810</v>
      </c>
    </row>
    <row r="5" spans="1:10" ht="43.2" x14ac:dyDescent="0.3">
      <c r="A5" s="8" t="s">
        <v>811</v>
      </c>
      <c r="B5" s="8" t="s">
        <v>812</v>
      </c>
      <c r="C5" s="8" t="s">
        <v>813</v>
      </c>
      <c r="D5" s="96" t="s">
        <v>814</v>
      </c>
      <c r="E5" s="96" t="s">
        <v>815</v>
      </c>
      <c r="F5" s="96" t="s">
        <v>816</v>
      </c>
      <c r="G5" s="96" t="s">
        <v>817</v>
      </c>
      <c r="H5" s="96" t="s">
        <v>818</v>
      </c>
      <c r="I5" s="736"/>
      <c r="J5" s="736"/>
    </row>
    <row r="6" spans="1:10" x14ac:dyDescent="0.3">
      <c r="A6" s="8">
        <v>1</v>
      </c>
      <c r="B6" s="8">
        <v>11922660</v>
      </c>
      <c r="C6" s="97">
        <v>10143802.630000001</v>
      </c>
      <c r="D6" s="8">
        <v>15.51</v>
      </c>
      <c r="E6" s="8">
        <v>456735.73</v>
      </c>
      <c r="F6" s="97">
        <f t="shared" ref="F6:F11" si="0">D6*E6</f>
        <v>7083971.1722999997</v>
      </c>
      <c r="G6" s="8">
        <v>256.64</v>
      </c>
      <c r="H6" s="97">
        <f t="shared" ref="H6:H17" si="1">B6*G6/1000</f>
        <v>3059831.4623999996</v>
      </c>
      <c r="I6" s="97">
        <f>F6+H6-0.01</f>
        <v>10143802.624700001</v>
      </c>
      <c r="J6" s="8">
        <f>I6*1.2+0.01</f>
        <v>12172563.159639999</v>
      </c>
    </row>
    <row r="7" spans="1:10" x14ac:dyDescent="0.3">
      <c r="A7" s="8">
        <v>2</v>
      </c>
      <c r="B7" s="8">
        <v>9865688</v>
      </c>
      <c r="C7" s="8">
        <v>9615901.3399999999</v>
      </c>
      <c r="D7" s="8">
        <v>15.51</v>
      </c>
      <c r="E7" s="8">
        <v>456735.73</v>
      </c>
      <c r="F7" s="97">
        <f t="shared" si="0"/>
        <v>7083971.1722999997</v>
      </c>
      <c r="G7" s="8">
        <v>256.64</v>
      </c>
      <c r="H7" s="97">
        <f t="shared" si="1"/>
        <v>2531930.1683199997</v>
      </c>
      <c r="I7" s="97">
        <f t="shared" ref="I7:I17" si="2">F7+H7</f>
        <v>9615901.3406199999</v>
      </c>
      <c r="J7" s="97">
        <f t="shared" ref="J7:J17" si="3">I7*1.2</f>
        <v>11539081.608743999</v>
      </c>
    </row>
    <row r="8" spans="1:10" x14ac:dyDescent="0.3">
      <c r="A8" s="8">
        <v>3</v>
      </c>
      <c r="B8" s="8">
        <v>9474372</v>
      </c>
      <c r="C8" s="97">
        <v>9515474</v>
      </c>
      <c r="D8" s="8">
        <v>15.51</v>
      </c>
      <c r="E8" s="8">
        <v>456735.73</v>
      </c>
      <c r="F8" s="97">
        <f t="shared" si="0"/>
        <v>7083971.1722999997</v>
      </c>
      <c r="G8" s="8">
        <v>256.64</v>
      </c>
      <c r="H8" s="97">
        <f t="shared" si="1"/>
        <v>2431502.8300799998</v>
      </c>
      <c r="I8" s="97">
        <f>F8+H8</f>
        <v>9515474.0023799986</v>
      </c>
      <c r="J8" s="97">
        <f>I8*1.2</f>
        <v>11418568.802855998</v>
      </c>
    </row>
    <row r="9" spans="1:10" x14ac:dyDescent="0.3">
      <c r="A9" s="8">
        <v>4</v>
      </c>
      <c r="B9" s="8">
        <v>8275434</v>
      </c>
      <c r="C9" s="97">
        <v>9207778.5500000007</v>
      </c>
      <c r="D9" s="8">
        <v>15.51</v>
      </c>
      <c r="E9" s="8">
        <v>456735.73</v>
      </c>
      <c r="F9" s="97">
        <f t="shared" si="0"/>
        <v>7083971.1722999997</v>
      </c>
      <c r="G9" s="8">
        <v>256.64</v>
      </c>
      <c r="H9" s="97">
        <f t="shared" si="1"/>
        <v>2123807.3817599998</v>
      </c>
      <c r="I9" s="97">
        <f>F9+H9</f>
        <v>9207778.5540599991</v>
      </c>
      <c r="J9" s="97">
        <f t="shared" si="3"/>
        <v>11049334.264871998</v>
      </c>
    </row>
    <row r="10" spans="1:10" x14ac:dyDescent="0.3">
      <c r="A10" s="8">
        <v>5</v>
      </c>
      <c r="B10" s="8">
        <v>8222726</v>
      </c>
      <c r="C10" s="97">
        <v>9194251.5700000003</v>
      </c>
      <c r="D10" s="8">
        <v>15.51</v>
      </c>
      <c r="E10" s="8">
        <v>456735.73</v>
      </c>
      <c r="F10" s="97">
        <f t="shared" si="0"/>
        <v>7083971.1722999997</v>
      </c>
      <c r="G10" s="8">
        <v>256.64</v>
      </c>
      <c r="H10" s="97">
        <f t="shared" si="1"/>
        <v>2110280.4006399997</v>
      </c>
      <c r="I10" s="97">
        <f t="shared" si="2"/>
        <v>9194251.5729399994</v>
      </c>
      <c r="J10" s="97">
        <f>I10*1.2-0.01</f>
        <v>11033101.877527999</v>
      </c>
    </row>
    <row r="11" spans="1:10" x14ac:dyDescent="0.3">
      <c r="A11" s="407">
        <v>6</v>
      </c>
      <c r="B11" s="47">
        <v>6971914</v>
      </c>
      <c r="C11" s="204">
        <v>8873243.1799999997</v>
      </c>
      <c r="D11" s="8">
        <v>15.51</v>
      </c>
      <c r="E11" s="8">
        <v>456735.73</v>
      </c>
      <c r="F11" s="204">
        <f t="shared" si="0"/>
        <v>7083971.1722999997</v>
      </c>
      <c r="G11" s="8">
        <v>256.64</v>
      </c>
      <c r="H11" s="204">
        <f t="shared" si="1"/>
        <v>1789272.0089599998</v>
      </c>
      <c r="I11" s="204">
        <f t="shared" si="2"/>
        <v>8873243.1812599991</v>
      </c>
      <c r="J11" s="97">
        <f>I11*1.2</f>
        <v>10647891.817511998</v>
      </c>
    </row>
    <row r="12" spans="1:10" x14ac:dyDescent="0.3">
      <c r="A12" s="47">
        <v>7</v>
      </c>
      <c r="B12" s="47">
        <v>6320884</v>
      </c>
      <c r="C12" s="204">
        <v>8819117.0700000003</v>
      </c>
      <c r="D12" s="47">
        <v>14.99</v>
      </c>
      <c r="E12" s="204">
        <v>472579.8</v>
      </c>
      <c r="F12" s="204">
        <f>D12*E12</f>
        <v>7083971.2019999996</v>
      </c>
      <c r="G12" s="47">
        <v>274.51</v>
      </c>
      <c r="H12" s="204">
        <f t="shared" si="1"/>
        <v>1735145.8668399998</v>
      </c>
      <c r="I12" s="204">
        <f t="shared" si="2"/>
        <v>8819117.0688399989</v>
      </c>
      <c r="J12" s="97">
        <f t="shared" si="3"/>
        <v>10582940.482607998</v>
      </c>
    </row>
    <row r="13" spans="1:10" x14ac:dyDescent="0.3">
      <c r="A13" s="47">
        <v>8</v>
      </c>
      <c r="B13" s="408">
        <v>6513336</v>
      </c>
      <c r="C13" s="204">
        <v>8871947.0700000003</v>
      </c>
      <c r="D13" s="47">
        <v>14.99</v>
      </c>
      <c r="E13" s="204">
        <v>472579.8</v>
      </c>
      <c r="F13" s="204">
        <f t="shared" ref="F13:F17" si="4">D13*E13</f>
        <v>7083971.2019999996</v>
      </c>
      <c r="G13" s="47">
        <v>274.51</v>
      </c>
      <c r="H13" s="204">
        <f t="shared" si="1"/>
        <v>1787975.8653599999</v>
      </c>
      <c r="I13" s="204">
        <f>F13+H13</f>
        <v>8871947.0673599988</v>
      </c>
      <c r="J13" s="97">
        <f>I13*1.2</f>
        <v>10646336.480831997</v>
      </c>
    </row>
    <row r="14" spans="1:10" x14ac:dyDescent="0.3">
      <c r="A14" s="8">
        <v>9</v>
      </c>
      <c r="B14" s="409">
        <v>6862421</v>
      </c>
      <c r="C14" s="97">
        <v>8967774.3900000006</v>
      </c>
      <c r="D14" s="47">
        <v>14.99</v>
      </c>
      <c r="E14" s="204">
        <v>472579.8</v>
      </c>
      <c r="F14" s="97">
        <f t="shared" si="4"/>
        <v>7083971.2019999996</v>
      </c>
      <c r="G14" s="47">
        <v>274.51</v>
      </c>
      <c r="H14" s="97">
        <f t="shared" si="1"/>
        <v>1883803.1887100001</v>
      </c>
      <c r="I14" s="97">
        <f t="shared" si="2"/>
        <v>8967774.3907099999</v>
      </c>
      <c r="J14" s="97">
        <f t="shared" si="3"/>
        <v>10761329.268851999</v>
      </c>
    </row>
    <row r="15" spans="1:10" x14ac:dyDescent="0.3">
      <c r="A15" s="410">
        <v>10</v>
      </c>
      <c r="B15" s="409">
        <v>8448532</v>
      </c>
      <c r="C15" s="8">
        <v>9403177.7200000007</v>
      </c>
      <c r="D15" s="47">
        <v>14.99</v>
      </c>
      <c r="E15" s="204">
        <v>472579.8</v>
      </c>
      <c r="F15" s="97">
        <f t="shared" si="4"/>
        <v>7083971.2019999996</v>
      </c>
      <c r="G15" s="47">
        <v>274.51</v>
      </c>
      <c r="H15" s="97">
        <f t="shared" si="1"/>
        <v>2319206.5193199995</v>
      </c>
      <c r="I15" s="97">
        <f t="shared" si="2"/>
        <v>9403177.7213199995</v>
      </c>
      <c r="J15" s="97">
        <f t="shared" si="3"/>
        <v>11283813.265583999</v>
      </c>
    </row>
    <row r="16" spans="1:10" x14ac:dyDescent="0.3">
      <c r="A16" s="410">
        <v>11</v>
      </c>
      <c r="B16" s="409">
        <v>9141583</v>
      </c>
      <c r="C16" s="8">
        <v>9593427.1500000004</v>
      </c>
      <c r="D16" s="47">
        <v>14.99</v>
      </c>
      <c r="E16" s="204">
        <v>472579.8</v>
      </c>
      <c r="F16" s="97">
        <f t="shared" si="4"/>
        <v>7083971.2019999996</v>
      </c>
      <c r="G16" s="47">
        <v>274.51</v>
      </c>
      <c r="H16" s="97">
        <f t="shared" si="1"/>
        <v>2509455.9493299997</v>
      </c>
      <c r="I16" s="97">
        <f>F16+H16</f>
        <v>9593427.1513299998</v>
      </c>
      <c r="J16" s="97">
        <f>I16*1.2</f>
        <v>11512112.581596</v>
      </c>
    </row>
    <row r="17" spans="1:10" x14ac:dyDescent="0.3">
      <c r="A17" s="410">
        <v>12</v>
      </c>
      <c r="B17" s="408">
        <v>10965392</v>
      </c>
      <c r="C17" s="204">
        <v>10094080.960000001</v>
      </c>
      <c r="D17" s="47">
        <v>14.99</v>
      </c>
      <c r="E17" s="204">
        <v>472579.8</v>
      </c>
      <c r="F17" s="97">
        <f t="shared" si="4"/>
        <v>7083971.2019999996</v>
      </c>
      <c r="G17" s="47">
        <v>274.51</v>
      </c>
      <c r="H17" s="97">
        <f t="shared" si="1"/>
        <v>3010109.7579200002</v>
      </c>
      <c r="I17" s="97">
        <f t="shared" si="2"/>
        <v>10094080.95992</v>
      </c>
      <c r="J17" s="97">
        <f t="shared" si="3"/>
        <v>12112897.151904</v>
      </c>
    </row>
    <row r="18" spans="1:10" x14ac:dyDescent="0.3">
      <c r="A18" s="8" t="s">
        <v>567</v>
      </c>
      <c r="B18" s="86">
        <f>SUM(B6:B17)</f>
        <v>102984942</v>
      </c>
      <c r="C18" s="377">
        <f>SUM(C6:C17)</f>
        <v>112299975.63</v>
      </c>
      <c r="D18" s="8"/>
      <c r="E18" s="8"/>
      <c r="F18" s="377">
        <f>SUM(F6:F17)</f>
        <v>85007654.245799989</v>
      </c>
      <c r="G18" s="8"/>
      <c r="H18" s="377">
        <f>SUM(H6:H17)</f>
        <v>27292321.399639998</v>
      </c>
      <c r="I18" s="377">
        <f>SUM(I6:I17)</f>
        <v>112299975.63543998</v>
      </c>
      <c r="J18" s="377">
        <f>SUM(J6:J17)</f>
        <v>134759970.76252797</v>
      </c>
    </row>
    <row r="19" spans="1:10" x14ac:dyDescent="0.3">
      <c r="A19" s="6"/>
      <c r="B19" s="411"/>
      <c r="C19" s="411"/>
      <c r="D19" s="6"/>
      <c r="E19" s="6"/>
      <c r="F19" s="411"/>
      <c r="G19" s="6"/>
      <c r="H19" s="411"/>
      <c r="I19" s="399"/>
    </row>
    <row r="20" spans="1:10" x14ac:dyDescent="0.3">
      <c r="A20" s="6"/>
      <c r="B20" s="411"/>
      <c r="C20" s="411"/>
      <c r="D20" s="6"/>
      <c r="E20" s="6"/>
      <c r="F20" s="411"/>
      <c r="G20" s="6"/>
      <c r="H20" s="411"/>
      <c r="I20" s="399"/>
    </row>
    <row r="21" spans="1:10" x14ac:dyDescent="0.3">
      <c r="A21" s="6"/>
      <c r="B21" s="411" t="s">
        <v>9</v>
      </c>
      <c r="C21" s="411"/>
      <c r="D21" s="6"/>
      <c r="E21" s="6"/>
      <c r="F21" s="411" t="s">
        <v>537</v>
      </c>
      <c r="G21" s="6"/>
      <c r="H21" s="411"/>
      <c r="I21" s="399"/>
    </row>
  </sheetData>
  <mergeCells count="4">
    <mergeCell ref="B4:C4"/>
    <mergeCell ref="D4:H4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2"/>
  <sheetViews>
    <sheetView topLeftCell="A22" workbookViewId="0">
      <selection activeCell="D21" sqref="D21"/>
    </sheetView>
  </sheetViews>
  <sheetFormatPr defaultRowHeight="14.4" x14ac:dyDescent="0.3"/>
  <cols>
    <col min="1" max="1" width="20.21875" style="9" customWidth="1"/>
    <col min="2" max="2" width="9.5546875" style="9" customWidth="1"/>
    <col min="3" max="4" width="8.88671875" style="9"/>
    <col min="5" max="5" width="11.21875" style="9" customWidth="1"/>
    <col min="6" max="6" width="9.88671875" style="9" bestFit="1" customWidth="1"/>
    <col min="7" max="7" width="10.44140625" style="9" customWidth="1"/>
    <col min="8" max="16384" width="8.88671875" style="9"/>
  </cols>
  <sheetData>
    <row r="1" spans="1:7" ht="19.95" customHeight="1" x14ac:dyDescent="0.3">
      <c r="A1" s="587" t="s">
        <v>844</v>
      </c>
      <c r="B1" s="587"/>
      <c r="C1" s="587"/>
      <c r="D1" s="587"/>
      <c r="E1" s="587"/>
      <c r="F1" s="587"/>
      <c r="G1" s="587"/>
    </row>
    <row r="2" spans="1:7" ht="9.4499999999999993" customHeight="1" x14ac:dyDescent="0.3">
      <c r="A2" s="587"/>
      <c r="B2" s="587"/>
      <c r="C2" s="587"/>
      <c r="D2" s="587"/>
      <c r="E2" s="587"/>
      <c r="F2" s="587"/>
      <c r="G2" s="587"/>
    </row>
    <row r="3" spans="1:7" x14ac:dyDescent="0.3">
      <c r="A3" s="588" t="s">
        <v>468</v>
      </c>
      <c r="B3" s="588"/>
      <c r="C3" s="588"/>
      <c r="D3" s="588"/>
      <c r="E3" s="588"/>
      <c r="F3" s="588"/>
      <c r="G3" s="588"/>
    </row>
    <row r="4" spans="1:7" ht="15" thickBot="1" x14ac:dyDescent="0.35">
      <c r="A4" s="420" t="s">
        <v>469</v>
      </c>
      <c r="B4" s="421"/>
      <c r="C4" s="421"/>
      <c r="D4" s="422"/>
      <c r="E4" s="422"/>
    </row>
    <row r="5" spans="1:7" ht="16.05" customHeight="1" x14ac:dyDescent="0.3">
      <c r="A5" s="589" t="s">
        <v>470</v>
      </c>
      <c r="B5" s="591" t="s">
        <v>471</v>
      </c>
      <c r="C5" s="591" t="s">
        <v>31</v>
      </c>
      <c r="D5" s="593" t="s">
        <v>472</v>
      </c>
      <c r="E5" s="595" t="s">
        <v>473</v>
      </c>
      <c r="F5" s="585" t="s">
        <v>474</v>
      </c>
      <c r="G5" s="597" t="s">
        <v>475</v>
      </c>
    </row>
    <row r="6" spans="1:7" ht="14.55" customHeight="1" x14ac:dyDescent="0.3">
      <c r="A6" s="590"/>
      <c r="B6" s="592"/>
      <c r="C6" s="592"/>
      <c r="D6" s="594"/>
      <c r="E6" s="596"/>
      <c r="F6" s="586"/>
      <c r="G6" s="598"/>
    </row>
    <row r="7" spans="1:7" ht="10.95" customHeight="1" thickBot="1" x14ac:dyDescent="0.35">
      <c r="A7" s="590"/>
      <c r="B7" s="592"/>
      <c r="C7" s="592"/>
      <c r="D7" s="594"/>
      <c r="E7" s="596"/>
      <c r="F7" s="586"/>
      <c r="G7" s="599"/>
    </row>
    <row r="8" spans="1:7" ht="15" thickBot="1" x14ac:dyDescent="0.35">
      <c r="A8" s="423">
        <v>1</v>
      </c>
      <c r="B8" s="424">
        <v>2</v>
      </c>
      <c r="C8" s="424">
        <v>3</v>
      </c>
      <c r="D8" s="424">
        <v>4</v>
      </c>
      <c r="E8" s="424">
        <v>5</v>
      </c>
      <c r="F8" s="424">
        <v>6</v>
      </c>
      <c r="G8" s="425">
        <v>7</v>
      </c>
    </row>
    <row r="9" spans="1:7" x14ac:dyDescent="0.3">
      <c r="A9" s="126" t="s">
        <v>476</v>
      </c>
      <c r="B9" s="577" t="s">
        <v>477</v>
      </c>
      <c r="C9" s="579" t="s">
        <v>59</v>
      </c>
      <c r="D9" s="581" t="s">
        <v>478</v>
      </c>
      <c r="E9" s="93">
        <v>2</v>
      </c>
      <c r="F9" s="583" t="s">
        <v>479</v>
      </c>
      <c r="G9" s="426"/>
    </row>
    <row r="10" spans="1:7" ht="20.399999999999999" x14ac:dyDescent="0.3">
      <c r="A10" s="125" t="s">
        <v>480</v>
      </c>
      <c r="B10" s="577"/>
      <c r="C10" s="579"/>
      <c r="D10" s="581"/>
      <c r="E10" s="47">
        <v>3</v>
      </c>
      <c r="F10" s="583"/>
      <c r="G10" s="427"/>
    </row>
    <row r="11" spans="1:7" ht="20.399999999999999" x14ac:dyDescent="0.3">
      <c r="A11" s="125" t="s">
        <v>481</v>
      </c>
      <c r="B11" s="577"/>
      <c r="C11" s="579"/>
      <c r="D11" s="581"/>
      <c r="E11" s="47">
        <v>0.5</v>
      </c>
      <c r="F11" s="583"/>
      <c r="G11" s="427"/>
    </row>
    <row r="12" spans="1:7" ht="30.6" x14ac:dyDescent="0.3">
      <c r="A12" s="125" t="s">
        <v>482</v>
      </c>
      <c r="B12" s="577"/>
      <c r="C12" s="579"/>
      <c r="D12" s="581"/>
      <c r="E12" s="47">
        <v>1</v>
      </c>
      <c r="F12" s="583"/>
      <c r="G12" s="427"/>
    </row>
    <row r="13" spans="1:7" x14ac:dyDescent="0.3">
      <c r="A13" s="125" t="s">
        <v>725</v>
      </c>
      <c r="B13" s="577"/>
      <c r="C13" s="579"/>
      <c r="D13" s="581"/>
      <c r="E13" s="47">
        <v>0.5</v>
      </c>
      <c r="F13" s="583"/>
      <c r="G13" s="427"/>
    </row>
    <row r="14" spans="1:7" ht="20.399999999999999" x14ac:dyDescent="0.3">
      <c r="A14" s="125" t="s">
        <v>483</v>
      </c>
      <c r="B14" s="577"/>
      <c r="C14" s="579"/>
      <c r="D14" s="581"/>
      <c r="E14" s="47">
        <v>3</v>
      </c>
      <c r="F14" s="583"/>
      <c r="G14" s="427"/>
    </row>
    <row r="15" spans="1:7" ht="30.6" x14ac:dyDescent="0.3">
      <c r="A15" s="125" t="s">
        <v>484</v>
      </c>
      <c r="B15" s="577"/>
      <c r="C15" s="579"/>
      <c r="D15" s="581"/>
      <c r="E15" s="47">
        <v>1</v>
      </c>
      <c r="F15" s="583"/>
      <c r="G15" s="427"/>
    </row>
    <row r="16" spans="1:7" x14ac:dyDescent="0.3">
      <c r="A16" s="125" t="s">
        <v>485</v>
      </c>
      <c r="B16" s="577"/>
      <c r="C16" s="579"/>
      <c r="D16" s="581"/>
      <c r="E16" s="47">
        <v>1</v>
      </c>
      <c r="F16" s="583"/>
      <c r="G16" s="427"/>
    </row>
    <row r="17" spans="1:7" ht="30.6" x14ac:dyDescent="0.3">
      <c r="A17" s="125" t="s">
        <v>486</v>
      </c>
      <c r="B17" s="578"/>
      <c r="C17" s="580"/>
      <c r="D17" s="582"/>
      <c r="E17" s="47">
        <v>1</v>
      </c>
      <c r="F17" s="584"/>
      <c r="G17" s="427"/>
    </row>
    <row r="18" spans="1:7" ht="45" customHeight="1" x14ac:dyDescent="0.3">
      <c r="A18" s="428" t="s">
        <v>723</v>
      </c>
      <c r="B18" s="565" t="s">
        <v>722</v>
      </c>
      <c r="C18" s="566"/>
      <c r="D18" s="567"/>
      <c r="E18" s="47">
        <v>1</v>
      </c>
      <c r="F18" s="429"/>
      <c r="G18" s="427"/>
    </row>
    <row r="19" spans="1:7" ht="31.8" x14ac:dyDescent="0.3">
      <c r="A19" s="125" t="s">
        <v>724</v>
      </c>
      <c r="B19" s="430" t="s">
        <v>487</v>
      </c>
      <c r="C19" s="431" t="s">
        <v>42</v>
      </c>
      <c r="D19" s="47">
        <v>4654</v>
      </c>
      <c r="E19" s="432">
        <f>D19*G19</f>
        <v>0.93080000000000007</v>
      </c>
      <c r="F19" s="433" t="s">
        <v>488</v>
      </c>
      <c r="G19" s="427">
        <v>2.0000000000000001E-4</v>
      </c>
    </row>
    <row r="20" spans="1:7" ht="38.4" x14ac:dyDescent="0.3">
      <c r="A20" s="281" t="s">
        <v>489</v>
      </c>
      <c r="B20" s="279" t="s">
        <v>490</v>
      </c>
      <c r="C20" s="280" t="s">
        <v>442</v>
      </c>
      <c r="D20" s="47">
        <v>30</v>
      </c>
      <c r="E20" s="432">
        <f t="shared" ref="E20" si="0">D20*G20</f>
        <v>2.25</v>
      </c>
      <c r="F20" s="280" t="s">
        <v>491</v>
      </c>
      <c r="G20" s="427">
        <v>7.4999999999999997E-2</v>
      </c>
    </row>
    <row r="21" spans="1:7" ht="31.8" x14ac:dyDescent="0.3">
      <c r="A21" s="125" t="s">
        <v>492</v>
      </c>
      <c r="B21" s="279" t="s">
        <v>493</v>
      </c>
      <c r="C21" s="280" t="s">
        <v>494</v>
      </c>
      <c r="D21" s="47">
        <v>2189.36</v>
      </c>
      <c r="E21" s="432">
        <v>5</v>
      </c>
      <c r="F21" s="434" t="s">
        <v>495</v>
      </c>
      <c r="G21" s="434" t="s">
        <v>496</v>
      </c>
    </row>
    <row r="22" spans="1:7" ht="96" x14ac:dyDescent="0.3">
      <c r="A22" s="281" t="s">
        <v>497</v>
      </c>
      <c r="B22" s="279" t="s">
        <v>498</v>
      </c>
      <c r="C22" s="280" t="s">
        <v>42</v>
      </c>
      <c r="D22" s="47">
        <v>118</v>
      </c>
      <c r="E22" s="432">
        <v>0.5</v>
      </c>
      <c r="F22" s="280" t="s">
        <v>499</v>
      </c>
      <c r="G22" s="427" t="s">
        <v>61</v>
      </c>
    </row>
    <row r="23" spans="1:7" ht="63.45" customHeight="1" x14ac:dyDescent="0.3">
      <c r="A23" s="125" t="s">
        <v>500</v>
      </c>
      <c r="B23" s="279" t="s">
        <v>501</v>
      </c>
      <c r="C23" s="280" t="s">
        <v>42</v>
      </c>
      <c r="D23" s="47">
        <v>160</v>
      </c>
      <c r="E23" s="432">
        <v>0.5</v>
      </c>
      <c r="F23" s="280" t="s">
        <v>502</v>
      </c>
      <c r="G23" s="427" t="s">
        <v>503</v>
      </c>
    </row>
    <row r="24" spans="1:7" ht="12" customHeight="1" x14ac:dyDescent="0.3">
      <c r="A24" s="570" t="s">
        <v>504</v>
      </c>
      <c r="B24" s="571" t="s">
        <v>505</v>
      </c>
      <c r="C24" s="572"/>
      <c r="D24" s="572"/>
      <c r="E24" s="572"/>
      <c r="F24" s="435" t="s">
        <v>506</v>
      </c>
      <c r="G24" s="427"/>
    </row>
    <row r="25" spans="1:7" ht="31.8" x14ac:dyDescent="0.3">
      <c r="A25" s="570"/>
      <c r="B25" s="279" t="s">
        <v>507</v>
      </c>
      <c r="C25" s="280" t="s">
        <v>494</v>
      </c>
      <c r="D25" s="47">
        <v>2189.36</v>
      </c>
      <c r="E25" s="573">
        <v>5</v>
      </c>
      <c r="F25" s="47"/>
      <c r="G25" s="427"/>
    </row>
    <row r="26" spans="1:7" ht="51.45" customHeight="1" x14ac:dyDescent="0.3">
      <c r="A26" s="570"/>
      <c r="B26" s="279" t="s">
        <v>721</v>
      </c>
      <c r="C26" s="280" t="s">
        <v>59</v>
      </c>
      <c r="D26" s="47">
        <v>75</v>
      </c>
      <c r="E26" s="574"/>
      <c r="F26" s="47"/>
      <c r="G26" s="427"/>
    </row>
    <row r="27" spans="1:7" x14ac:dyDescent="0.3">
      <c r="A27" s="575" t="s">
        <v>508</v>
      </c>
      <c r="B27" s="575"/>
      <c r="C27" s="575"/>
      <c r="D27" s="575"/>
      <c r="E27" s="432">
        <f>E9+E10+E11+E12+E13+E14+E15+E16+E17+E19+E20+E21+E22+E23+E25+E18</f>
        <v>28.180799999999998</v>
      </c>
      <c r="F27" s="47"/>
      <c r="G27" s="47"/>
    </row>
    <row r="28" spans="1:7" ht="14.55" customHeight="1" x14ac:dyDescent="0.3">
      <c r="A28" s="576" t="s">
        <v>509</v>
      </c>
      <c r="B28" s="576"/>
      <c r="C28" s="576"/>
      <c r="D28" s="576"/>
      <c r="E28" s="436">
        <f>E27*1.18</f>
        <v>33.253343999999998</v>
      </c>
      <c r="F28" s="250"/>
      <c r="G28" s="250"/>
    </row>
    <row r="30" spans="1:7" x14ac:dyDescent="0.3">
      <c r="A30" s="568"/>
      <c r="B30" s="568"/>
      <c r="C30" s="568"/>
      <c r="D30" s="568"/>
      <c r="E30" s="568"/>
      <c r="F30" s="568"/>
      <c r="G30" s="568"/>
    </row>
    <row r="31" spans="1:7" x14ac:dyDescent="0.3">
      <c r="A31" s="569"/>
      <c r="B31" s="569"/>
      <c r="C31" s="569"/>
      <c r="D31" s="569"/>
      <c r="E31" s="569"/>
      <c r="F31" s="569"/>
      <c r="G31" s="569"/>
    </row>
    <row r="32" spans="1:7" x14ac:dyDescent="0.3">
      <c r="A32" s="569"/>
      <c r="B32" s="569"/>
      <c r="C32" s="569"/>
      <c r="D32" s="569"/>
      <c r="E32" s="569"/>
      <c r="F32" s="569"/>
      <c r="G32" s="569"/>
    </row>
  </sheetData>
  <mergeCells count="21">
    <mergeCell ref="A1:G2"/>
    <mergeCell ref="A3:G3"/>
    <mergeCell ref="A5:A7"/>
    <mergeCell ref="B5:B7"/>
    <mergeCell ref="C5:C7"/>
    <mergeCell ref="D5:D7"/>
    <mergeCell ref="E5:E7"/>
    <mergeCell ref="G5:G7"/>
    <mergeCell ref="B9:B17"/>
    <mergeCell ref="C9:C17"/>
    <mergeCell ref="D9:D17"/>
    <mergeCell ref="F9:F17"/>
    <mergeCell ref="F5:F7"/>
    <mergeCell ref="B18:D18"/>
    <mergeCell ref="A30:G30"/>
    <mergeCell ref="A31:G32"/>
    <mergeCell ref="A24:A26"/>
    <mergeCell ref="B24:E24"/>
    <mergeCell ref="E25:E26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2"/>
  <sheetViews>
    <sheetView topLeftCell="A13" workbookViewId="0">
      <selection activeCell="E24" sqref="A1:E24"/>
    </sheetView>
  </sheetViews>
  <sheetFormatPr defaultColWidth="8.77734375" defaultRowHeight="14.4" x14ac:dyDescent="0.3"/>
  <cols>
    <col min="1" max="1" width="5.109375" style="9" customWidth="1"/>
    <col min="2" max="2" width="11.6640625" style="9" customWidth="1"/>
    <col min="3" max="3" width="13.109375" style="9" customWidth="1"/>
    <col min="4" max="4" width="16" style="9" customWidth="1"/>
    <col min="5" max="5" width="17.109375" style="9" customWidth="1"/>
    <col min="6" max="16384" width="8.77734375" style="9"/>
  </cols>
  <sheetData>
    <row r="1" spans="1:6" ht="29.4" customHeight="1" x14ac:dyDescent="0.3"/>
    <row r="2" spans="1:6" ht="15" customHeight="1" x14ac:dyDescent="0.3">
      <c r="A2" s="740" t="s">
        <v>866</v>
      </c>
      <c r="B2" s="741"/>
      <c r="C2" s="741"/>
      <c r="D2" s="741"/>
      <c r="E2" s="741"/>
      <c r="F2" s="85"/>
    </row>
    <row r="3" spans="1:6" ht="30" customHeight="1" x14ac:dyDescent="0.3">
      <c r="A3" s="741"/>
      <c r="B3" s="741"/>
      <c r="C3" s="741"/>
      <c r="D3" s="741"/>
      <c r="E3" s="741"/>
      <c r="F3" s="85"/>
    </row>
    <row r="4" spans="1:6" ht="30" customHeight="1" x14ac:dyDescent="0.3">
      <c r="A4" s="443"/>
      <c r="B4" s="443"/>
      <c r="C4" s="443"/>
      <c r="D4" s="443"/>
      <c r="E4" s="443"/>
      <c r="F4" s="85"/>
    </row>
    <row r="5" spans="1:6" ht="15" customHeight="1" x14ac:dyDescent="0.3">
      <c r="A5" s="47" t="s">
        <v>241</v>
      </c>
      <c r="B5" s="47" t="s">
        <v>850</v>
      </c>
      <c r="C5" s="47" t="s">
        <v>851</v>
      </c>
      <c r="D5" s="47" t="s">
        <v>852</v>
      </c>
      <c r="E5" s="47" t="s">
        <v>853</v>
      </c>
    </row>
    <row r="6" spans="1:6" ht="15" customHeight="1" x14ac:dyDescent="0.3">
      <c r="A6" s="47">
        <v>1</v>
      </c>
      <c r="B6" s="47" t="s">
        <v>448</v>
      </c>
      <c r="C6" s="204">
        <v>7833.9</v>
      </c>
      <c r="D6" s="437">
        <f>5.115+1.715</f>
        <v>6.83</v>
      </c>
      <c r="E6" s="204">
        <f>C6*D6</f>
        <v>53505.536999999997</v>
      </c>
    </row>
    <row r="7" spans="1:6" ht="15" customHeight="1" x14ac:dyDescent="0.3">
      <c r="A7" s="47">
        <v>2</v>
      </c>
      <c r="B7" s="47" t="s">
        <v>449</v>
      </c>
      <c r="C7" s="204">
        <v>7833.9</v>
      </c>
      <c r="D7" s="47">
        <f>4.785+1.605</f>
        <v>6.3900000000000006</v>
      </c>
      <c r="E7" s="204">
        <f t="shared" ref="E7:E14" si="0">C7*D7</f>
        <v>50058.620999999999</v>
      </c>
    </row>
    <row r="8" spans="1:6" ht="15" customHeight="1" x14ac:dyDescent="0.3">
      <c r="A8" s="47">
        <v>3</v>
      </c>
      <c r="B8" s="47" t="s">
        <v>450</v>
      </c>
      <c r="C8" s="204">
        <v>7833.9</v>
      </c>
      <c r="D8" s="47">
        <f>5.115+1.715</f>
        <v>6.83</v>
      </c>
      <c r="E8" s="204">
        <f t="shared" si="0"/>
        <v>53505.536999999997</v>
      </c>
    </row>
    <row r="9" spans="1:6" ht="15" customHeight="1" x14ac:dyDescent="0.3">
      <c r="A9" s="47">
        <v>4</v>
      </c>
      <c r="B9" s="47" t="s">
        <v>854</v>
      </c>
      <c r="C9" s="204">
        <v>7833.9</v>
      </c>
      <c r="D9" s="47">
        <f>4.95+1.66</f>
        <v>6.61</v>
      </c>
      <c r="E9" s="204">
        <f t="shared" si="0"/>
        <v>51782.078999999998</v>
      </c>
    </row>
    <row r="10" spans="1:6" ht="18" customHeight="1" x14ac:dyDescent="0.3">
      <c r="A10" s="47">
        <v>5</v>
      </c>
      <c r="B10" s="47" t="s">
        <v>452</v>
      </c>
      <c r="C10" s="204">
        <v>7833.9</v>
      </c>
      <c r="D10" s="47">
        <f>3.63+1.217</f>
        <v>4.8469999999999995</v>
      </c>
      <c r="E10" s="204">
        <f t="shared" si="0"/>
        <v>37970.913299999993</v>
      </c>
    </row>
    <row r="11" spans="1:6" ht="15" customHeight="1" x14ac:dyDescent="0.3">
      <c r="A11" s="47">
        <v>6</v>
      </c>
      <c r="B11" s="47" t="s">
        <v>453</v>
      </c>
      <c r="C11" s="204">
        <v>7833.9</v>
      </c>
      <c r="D11" s="47">
        <v>0</v>
      </c>
      <c r="E11" s="47">
        <f t="shared" si="0"/>
        <v>0</v>
      </c>
    </row>
    <row r="12" spans="1:6" ht="15" customHeight="1" x14ac:dyDescent="0.3">
      <c r="A12" s="47">
        <v>7</v>
      </c>
      <c r="B12" s="47" t="s">
        <v>454</v>
      </c>
      <c r="C12" s="204">
        <v>8474.42</v>
      </c>
      <c r="D12" s="47">
        <v>0</v>
      </c>
      <c r="E12" s="47">
        <f t="shared" si="0"/>
        <v>0</v>
      </c>
    </row>
    <row r="13" spans="1:6" ht="15" customHeight="1" x14ac:dyDescent="0.3">
      <c r="A13" s="47">
        <v>8</v>
      </c>
      <c r="B13" s="47" t="s">
        <v>455</v>
      </c>
      <c r="C13" s="204">
        <v>8474.42</v>
      </c>
      <c r="D13" s="47">
        <v>0</v>
      </c>
      <c r="E13" s="47">
        <f t="shared" si="0"/>
        <v>0</v>
      </c>
    </row>
    <row r="14" spans="1:6" ht="15" customHeight="1" x14ac:dyDescent="0.3">
      <c r="A14" s="47">
        <v>9</v>
      </c>
      <c r="B14" s="47" t="s">
        <v>456</v>
      </c>
      <c r="C14" s="204">
        <v>8474.42</v>
      </c>
      <c r="D14" s="47">
        <v>0</v>
      </c>
      <c r="E14" s="47">
        <f t="shared" si="0"/>
        <v>0</v>
      </c>
    </row>
    <row r="15" spans="1:6" ht="15" customHeight="1" x14ac:dyDescent="0.3">
      <c r="A15" s="47">
        <v>10</v>
      </c>
      <c r="B15" s="47" t="s">
        <v>457</v>
      </c>
      <c r="C15" s="204">
        <v>8474.42</v>
      </c>
      <c r="D15" s="47">
        <f>5.115+1.715</f>
        <v>6.83</v>
      </c>
      <c r="E15" s="204">
        <f>C15*D15</f>
        <v>57880.2886</v>
      </c>
    </row>
    <row r="16" spans="1:6" ht="15" customHeight="1" x14ac:dyDescent="0.3">
      <c r="A16" s="47">
        <v>11</v>
      </c>
      <c r="B16" s="47" t="s">
        <v>458</v>
      </c>
      <c r="C16" s="204">
        <v>8474.42</v>
      </c>
      <c r="D16" s="47">
        <f>4.95+1.66</f>
        <v>6.61</v>
      </c>
      <c r="E16" s="204">
        <f>C16*D16</f>
        <v>56015.9162</v>
      </c>
    </row>
    <row r="17" spans="1:7" ht="15" customHeight="1" x14ac:dyDescent="0.3">
      <c r="A17" s="47">
        <v>12</v>
      </c>
      <c r="B17" s="47" t="s">
        <v>459</v>
      </c>
      <c r="C17" s="204">
        <v>8474.42</v>
      </c>
      <c r="D17" s="47">
        <f>5.115+1.715</f>
        <v>6.83</v>
      </c>
      <c r="E17" s="204">
        <f>C17*D17</f>
        <v>57880.2886</v>
      </c>
    </row>
    <row r="18" spans="1:7" ht="15" customHeight="1" x14ac:dyDescent="0.3">
      <c r="A18" s="47"/>
      <c r="B18" s="94" t="s">
        <v>62</v>
      </c>
      <c r="C18" s="94"/>
      <c r="D18" s="94">
        <f>SUM(D6:D17)</f>
        <v>51.776999999999994</v>
      </c>
      <c r="E18" s="209">
        <f>SUM(E6:E17)</f>
        <v>418599.18069999991</v>
      </c>
      <c r="G18" s="438">
        <v>8.1762000000000001E-2</v>
      </c>
    </row>
    <row r="19" spans="1:7" ht="15" customHeight="1" x14ac:dyDescent="0.3">
      <c r="C19" s="9" t="s">
        <v>856</v>
      </c>
      <c r="E19" s="439">
        <f>E18*1.2</f>
        <v>502319.01683999988</v>
      </c>
    </row>
    <row r="20" spans="1:7" ht="15" customHeight="1" x14ac:dyDescent="0.3">
      <c r="E20" s="439"/>
    </row>
    <row r="21" spans="1:7" ht="15" customHeight="1" x14ac:dyDescent="0.3">
      <c r="E21" s="439"/>
    </row>
    <row r="22" spans="1:7" ht="15" customHeight="1" x14ac:dyDescent="0.3">
      <c r="B22" s="9" t="s">
        <v>9</v>
      </c>
      <c r="D22" s="9" t="s">
        <v>537</v>
      </c>
    </row>
    <row r="23" spans="1:7" ht="15" customHeight="1" x14ac:dyDescent="0.3"/>
    <row r="24" spans="1:7" ht="15" customHeight="1" x14ac:dyDescent="0.3"/>
    <row r="25" spans="1:7" ht="15" customHeight="1" x14ac:dyDescent="0.3"/>
    <row r="26" spans="1:7" ht="28.2" customHeight="1" x14ac:dyDescent="0.3"/>
    <row r="27" spans="1:7" ht="15" customHeight="1" x14ac:dyDescent="0.3"/>
    <row r="28" spans="1:7" ht="15" customHeight="1" x14ac:dyDescent="0.3"/>
    <row r="29" spans="1:7" ht="15" customHeight="1" x14ac:dyDescent="0.3"/>
    <row r="30" spans="1:7" ht="15" customHeight="1" x14ac:dyDescent="0.3"/>
    <row r="31" spans="1:7" ht="14.4" customHeight="1" x14ac:dyDescent="0.3"/>
    <row r="32" spans="1:7" ht="15" customHeight="1" x14ac:dyDescent="0.3"/>
    <row r="33" spans="1:5" ht="15" customHeight="1" x14ac:dyDescent="0.3"/>
    <row r="34" spans="1:5" ht="15" customHeight="1" x14ac:dyDescent="0.3"/>
    <row r="35" spans="1:5" ht="15" customHeight="1" x14ac:dyDescent="0.3"/>
    <row r="36" spans="1:5" ht="25.8" customHeight="1" x14ac:dyDescent="0.3"/>
    <row r="37" spans="1:5" ht="15" customHeight="1" x14ac:dyDescent="0.3"/>
    <row r="38" spans="1:5" ht="15" customHeight="1" x14ac:dyDescent="0.3"/>
    <row r="39" spans="1:5" ht="15" customHeight="1" x14ac:dyDescent="0.3"/>
    <row r="40" spans="1:5" ht="27" customHeight="1" x14ac:dyDescent="0.3"/>
    <row r="41" spans="1:5" ht="15" customHeight="1" x14ac:dyDescent="0.3"/>
    <row r="42" spans="1:5" ht="15" customHeight="1" x14ac:dyDescent="0.3"/>
    <row r="43" spans="1:5" ht="15" customHeight="1" x14ac:dyDescent="0.3">
      <c r="A43" s="85"/>
      <c r="B43" s="85"/>
      <c r="C43" s="85"/>
      <c r="D43" s="85"/>
      <c r="E43" s="85"/>
    </row>
    <row r="44" spans="1:5" ht="15" customHeight="1" x14ac:dyDescent="0.3">
      <c r="A44" s="85"/>
      <c r="B44" s="85"/>
      <c r="C44" s="85"/>
      <c r="D44" s="85"/>
      <c r="E44" s="85"/>
    </row>
    <row r="45" spans="1:5" ht="15" customHeight="1" x14ac:dyDescent="0.3">
      <c r="A45" s="85"/>
      <c r="B45" s="85"/>
      <c r="C45" s="85"/>
      <c r="D45" s="85"/>
      <c r="E45" s="85"/>
    </row>
    <row r="46" spans="1:5" ht="15" customHeight="1" x14ac:dyDescent="0.3"/>
    <row r="47" spans="1:5" ht="15" customHeight="1" x14ac:dyDescent="0.3"/>
    <row r="48" spans="1:5" ht="30" customHeight="1" x14ac:dyDescent="0.3"/>
    <row r="49" spans="1:5" ht="15" customHeight="1" x14ac:dyDescent="0.3"/>
    <row r="50" spans="1:5" ht="15" customHeight="1" x14ac:dyDescent="0.3"/>
    <row r="51" spans="1:5" ht="15" customHeight="1" x14ac:dyDescent="0.3"/>
    <row r="52" spans="1:5" s="85" customFormat="1" ht="15" customHeight="1" x14ac:dyDescent="0.3">
      <c r="A52" s="9"/>
      <c r="B52" s="9"/>
      <c r="C52" s="9"/>
      <c r="D52" s="9"/>
      <c r="E52" s="9"/>
    </row>
    <row r="53" spans="1:5" s="85" customFormat="1" ht="15" customHeight="1" x14ac:dyDescent="0.3">
      <c r="A53" s="9"/>
      <c r="B53" s="9"/>
      <c r="C53" s="9"/>
      <c r="D53" s="9"/>
      <c r="E53" s="9"/>
    </row>
    <row r="54" spans="1:5" s="85" customFormat="1" ht="15" customHeight="1" x14ac:dyDescent="0.3">
      <c r="A54" s="9"/>
      <c r="B54" s="9"/>
      <c r="C54" s="9"/>
      <c r="D54" s="9"/>
      <c r="E54" s="9"/>
    </row>
    <row r="55" spans="1:5" s="85" customFormat="1" ht="15" customHeight="1" x14ac:dyDescent="0.3">
      <c r="A55" s="9"/>
      <c r="B55" s="9"/>
      <c r="C55" s="9"/>
      <c r="D55" s="9"/>
      <c r="E55" s="9"/>
    </row>
    <row r="56" spans="1:5" s="85" customFormat="1" ht="15" customHeight="1" x14ac:dyDescent="0.3">
      <c r="A56" s="9"/>
      <c r="B56" s="9"/>
      <c r="C56" s="9"/>
      <c r="D56" s="9"/>
      <c r="E56" s="9"/>
    </row>
    <row r="57" spans="1:5" ht="15" customHeight="1" x14ac:dyDescent="0.3"/>
    <row r="58" spans="1:5" ht="15" customHeight="1" x14ac:dyDescent="0.3"/>
    <row r="59" spans="1:5" ht="15" customHeight="1" x14ac:dyDescent="0.3"/>
    <row r="60" spans="1:5" ht="15" customHeight="1" x14ac:dyDescent="0.3"/>
    <row r="61" spans="1:5" ht="15" customHeight="1" x14ac:dyDescent="0.3"/>
    <row r="62" spans="1:5" ht="30" customHeight="1" x14ac:dyDescent="0.3"/>
    <row r="63" spans="1:5" ht="15" customHeight="1" x14ac:dyDescent="0.3"/>
    <row r="64" spans="1:5" ht="15" customHeight="1" x14ac:dyDescent="0.3"/>
    <row r="65" spans="1:5" ht="15" customHeight="1" x14ac:dyDescent="0.3"/>
    <row r="66" spans="1:5" ht="15" customHeight="1" x14ac:dyDescent="0.3"/>
    <row r="67" spans="1:5" ht="28.2" customHeight="1" x14ac:dyDescent="0.3"/>
    <row r="68" spans="1:5" ht="28.8" customHeight="1" x14ac:dyDescent="0.3"/>
    <row r="69" spans="1:5" ht="15" customHeight="1" x14ac:dyDescent="0.3"/>
    <row r="70" spans="1:5" ht="15" customHeight="1" x14ac:dyDescent="0.3">
      <c r="A70" s="85"/>
      <c r="B70" s="85"/>
      <c r="C70" s="85"/>
      <c r="D70" s="85"/>
      <c r="E70" s="85"/>
    </row>
    <row r="71" spans="1:5" ht="15" customHeight="1" x14ac:dyDescent="0.3">
      <c r="A71" s="85"/>
      <c r="B71" s="85"/>
      <c r="C71" s="85"/>
      <c r="D71" s="85"/>
      <c r="E71" s="85"/>
    </row>
    <row r="72" spans="1:5" ht="15" customHeight="1" x14ac:dyDescent="0.3"/>
    <row r="73" spans="1:5" ht="28.2" customHeight="1" x14ac:dyDescent="0.3"/>
    <row r="74" spans="1:5" ht="15" customHeight="1" x14ac:dyDescent="0.3"/>
    <row r="77" spans="1:5" ht="15" customHeight="1" x14ac:dyDescent="0.3"/>
    <row r="81" spans="1:5" s="85" customFormat="1" ht="15" customHeight="1" x14ac:dyDescent="0.3">
      <c r="A81" s="9"/>
      <c r="B81" s="9"/>
      <c r="C81" s="9"/>
      <c r="D81" s="9"/>
      <c r="E81" s="9"/>
    </row>
    <row r="82" spans="1:5" s="85" customFormat="1" ht="15" customHeight="1" x14ac:dyDescent="0.3">
      <c r="A82" s="9"/>
      <c r="B82" s="9"/>
      <c r="C82" s="9"/>
      <c r="D82" s="9"/>
      <c r="E82" s="9"/>
    </row>
  </sheetData>
  <mergeCells count="1">
    <mergeCell ref="A2:E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>
      <pane xSplit="2" ySplit="6" topLeftCell="AD7" activePane="bottomRight" state="frozen"/>
      <selection pane="topRight" activeCell="C1" sqref="C1"/>
      <selection pane="bottomLeft" activeCell="A7" sqref="A7"/>
      <selection pane="bottomRight" activeCell="AH54" sqref="A1:AH54"/>
    </sheetView>
  </sheetViews>
  <sheetFormatPr defaultColWidth="9.21875" defaultRowHeight="13.2" outlineLevelRow="1" outlineLevelCol="2" x14ac:dyDescent="0.25"/>
  <cols>
    <col min="1" max="1" width="10" style="11" customWidth="1"/>
    <col min="2" max="2" width="43.33203125" style="11" customWidth="1"/>
    <col min="3" max="3" width="7.21875" style="11" hidden="1" customWidth="1" outlineLevel="2"/>
    <col min="4" max="4" width="8.21875" style="11" hidden="1" customWidth="1" outlineLevel="2"/>
    <col min="5" max="5" width="8.6640625" style="11" hidden="1" customWidth="1" outlineLevel="2"/>
    <col min="6" max="6" width="9.6640625" style="11" hidden="1" customWidth="1" outlineLevel="2"/>
    <col min="7" max="13" width="9.21875" style="11" hidden="1" customWidth="1" outlineLevel="2"/>
    <col min="14" max="14" width="8.21875" style="11" hidden="1" customWidth="1" outlineLevel="2"/>
    <col min="15" max="17" width="9.21875" style="11" hidden="1" customWidth="1" outlineLevel="2"/>
    <col min="18" max="18" width="9.44140625" style="11" hidden="1" customWidth="1" outlineLevel="2" collapsed="1"/>
    <col min="19" max="19" width="9.21875" style="11" hidden="1" customWidth="1" outlineLevel="2"/>
    <col min="20" max="20" width="10.33203125" style="11" hidden="1" customWidth="1" outlineLevel="2"/>
    <col min="21" max="21" width="9.88671875" style="11" hidden="1" customWidth="1" outlineLevel="2"/>
    <col min="22" max="22" width="10.5546875" style="11" hidden="1" customWidth="1" outlineLevel="2"/>
    <col min="23" max="23" width="11.109375" style="11" hidden="1" customWidth="1" outlineLevel="2"/>
    <col min="24" max="24" width="11.21875" style="11" hidden="1" customWidth="1" outlineLevel="2"/>
    <col min="25" max="25" width="9.5546875" style="11" hidden="1" customWidth="1" outlineLevel="2"/>
    <col min="26" max="27" width="0" style="11" hidden="1" customWidth="1" outlineLevel="1"/>
    <col min="28" max="28" width="9.77734375" style="11" hidden="1" customWidth="1" outlineLevel="1"/>
    <col min="29" max="29" width="0" style="11" hidden="1" customWidth="1" outlineLevel="1"/>
    <col min="30" max="30" width="9.21875" style="11" collapsed="1"/>
    <col min="31" max="31" width="9.21875" style="11"/>
    <col min="32" max="32" width="10.109375" style="11" customWidth="1"/>
    <col min="33" max="245" width="9.21875" style="11"/>
    <col min="246" max="246" width="6.44140625" style="11" customWidth="1"/>
    <col min="247" max="247" width="47.77734375" style="11" customWidth="1"/>
    <col min="248" max="248" width="12.77734375" style="11" customWidth="1"/>
    <col min="249" max="249" width="14.44140625" style="11" customWidth="1"/>
    <col min="250" max="250" width="12.21875" style="11" customWidth="1"/>
    <col min="251" max="252" width="11.77734375" style="11" customWidth="1"/>
    <col min="253" max="501" width="9.21875" style="11"/>
    <col min="502" max="502" width="6.44140625" style="11" customWidth="1"/>
    <col min="503" max="503" width="47.77734375" style="11" customWidth="1"/>
    <col min="504" max="504" width="12.77734375" style="11" customWidth="1"/>
    <col min="505" max="505" width="14.44140625" style="11" customWidth="1"/>
    <col min="506" max="506" width="12.21875" style="11" customWidth="1"/>
    <col min="507" max="508" width="11.77734375" style="11" customWidth="1"/>
    <col min="509" max="757" width="9.21875" style="11"/>
    <col min="758" max="758" width="6.44140625" style="11" customWidth="1"/>
    <col min="759" max="759" width="47.77734375" style="11" customWidth="1"/>
    <col min="760" max="760" width="12.77734375" style="11" customWidth="1"/>
    <col min="761" max="761" width="14.44140625" style="11" customWidth="1"/>
    <col min="762" max="762" width="12.21875" style="11" customWidth="1"/>
    <col min="763" max="764" width="11.77734375" style="11" customWidth="1"/>
    <col min="765" max="1013" width="9.21875" style="11"/>
    <col min="1014" max="1014" width="6.44140625" style="11" customWidth="1"/>
    <col min="1015" max="1015" width="47.77734375" style="11" customWidth="1"/>
    <col min="1016" max="1016" width="12.77734375" style="11" customWidth="1"/>
    <col min="1017" max="1017" width="14.44140625" style="11" customWidth="1"/>
    <col min="1018" max="1018" width="12.21875" style="11" customWidth="1"/>
    <col min="1019" max="1020" width="11.77734375" style="11" customWidth="1"/>
    <col min="1021" max="1269" width="9.21875" style="11"/>
    <col min="1270" max="1270" width="6.44140625" style="11" customWidth="1"/>
    <col min="1271" max="1271" width="47.77734375" style="11" customWidth="1"/>
    <col min="1272" max="1272" width="12.77734375" style="11" customWidth="1"/>
    <col min="1273" max="1273" width="14.44140625" style="11" customWidth="1"/>
    <col min="1274" max="1274" width="12.21875" style="11" customWidth="1"/>
    <col min="1275" max="1276" width="11.77734375" style="11" customWidth="1"/>
    <col min="1277" max="1525" width="9.21875" style="11"/>
    <col min="1526" max="1526" width="6.44140625" style="11" customWidth="1"/>
    <col min="1527" max="1527" width="47.77734375" style="11" customWidth="1"/>
    <col min="1528" max="1528" width="12.77734375" style="11" customWidth="1"/>
    <col min="1529" max="1529" width="14.44140625" style="11" customWidth="1"/>
    <col min="1530" max="1530" width="12.21875" style="11" customWidth="1"/>
    <col min="1531" max="1532" width="11.77734375" style="11" customWidth="1"/>
    <col min="1533" max="1781" width="9.21875" style="11"/>
    <col min="1782" max="1782" width="6.44140625" style="11" customWidth="1"/>
    <col min="1783" max="1783" width="47.77734375" style="11" customWidth="1"/>
    <col min="1784" max="1784" width="12.77734375" style="11" customWidth="1"/>
    <col min="1785" max="1785" width="14.44140625" style="11" customWidth="1"/>
    <col min="1786" max="1786" width="12.21875" style="11" customWidth="1"/>
    <col min="1787" max="1788" width="11.77734375" style="11" customWidth="1"/>
    <col min="1789" max="2037" width="9.21875" style="11"/>
    <col min="2038" max="2038" width="6.44140625" style="11" customWidth="1"/>
    <col min="2039" max="2039" width="47.77734375" style="11" customWidth="1"/>
    <col min="2040" max="2040" width="12.77734375" style="11" customWidth="1"/>
    <col min="2041" max="2041" width="14.44140625" style="11" customWidth="1"/>
    <col min="2042" max="2042" width="12.21875" style="11" customWidth="1"/>
    <col min="2043" max="2044" width="11.77734375" style="11" customWidth="1"/>
    <col min="2045" max="2293" width="9.21875" style="11"/>
    <col min="2294" max="2294" width="6.44140625" style="11" customWidth="1"/>
    <col min="2295" max="2295" width="47.77734375" style="11" customWidth="1"/>
    <col min="2296" max="2296" width="12.77734375" style="11" customWidth="1"/>
    <col min="2297" max="2297" width="14.44140625" style="11" customWidth="1"/>
    <col min="2298" max="2298" width="12.21875" style="11" customWidth="1"/>
    <col min="2299" max="2300" width="11.77734375" style="11" customWidth="1"/>
    <col min="2301" max="2549" width="9.21875" style="11"/>
    <col min="2550" max="2550" width="6.44140625" style="11" customWidth="1"/>
    <col min="2551" max="2551" width="47.77734375" style="11" customWidth="1"/>
    <col min="2552" max="2552" width="12.77734375" style="11" customWidth="1"/>
    <col min="2553" max="2553" width="14.44140625" style="11" customWidth="1"/>
    <col min="2554" max="2554" width="12.21875" style="11" customWidth="1"/>
    <col min="2555" max="2556" width="11.77734375" style="11" customWidth="1"/>
    <col min="2557" max="2805" width="9.21875" style="11"/>
    <col min="2806" max="2806" width="6.44140625" style="11" customWidth="1"/>
    <col min="2807" max="2807" width="47.77734375" style="11" customWidth="1"/>
    <col min="2808" max="2808" width="12.77734375" style="11" customWidth="1"/>
    <col min="2809" max="2809" width="14.44140625" style="11" customWidth="1"/>
    <col min="2810" max="2810" width="12.21875" style="11" customWidth="1"/>
    <col min="2811" max="2812" width="11.77734375" style="11" customWidth="1"/>
    <col min="2813" max="3061" width="9.21875" style="11"/>
    <col min="3062" max="3062" width="6.44140625" style="11" customWidth="1"/>
    <col min="3063" max="3063" width="47.77734375" style="11" customWidth="1"/>
    <col min="3064" max="3064" width="12.77734375" style="11" customWidth="1"/>
    <col min="3065" max="3065" width="14.44140625" style="11" customWidth="1"/>
    <col min="3066" max="3066" width="12.21875" style="11" customWidth="1"/>
    <col min="3067" max="3068" width="11.77734375" style="11" customWidth="1"/>
    <col min="3069" max="3317" width="9.21875" style="11"/>
    <col min="3318" max="3318" width="6.44140625" style="11" customWidth="1"/>
    <col min="3319" max="3319" width="47.77734375" style="11" customWidth="1"/>
    <col min="3320" max="3320" width="12.77734375" style="11" customWidth="1"/>
    <col min="3321" max="3321" width="14.44140625" style="11" customWidth="1"/>
    <col min="3322" max="3322" width="12.21875" style="11" customWidth="1"/>
    <col min="3323" max="3324" width="11.77734375" style="11" customWidth="1"/>
    <col min="3325" max="3573" width="9.21875" style="11"/>
    <col min="3574" max="3574" width="6.44140625" style="11" customWidth="1"/>
    <col min="3575" max="3575" width="47.77734375" style="11" customWidth="1"/>
    <col min="3576" max="3576" width="12.77734375" style="11" customWidth="1"/>
    <col min="3577" max="3577" width="14.44140625" style="11" customWidth="1"/>
    <col min="3578" max="3578" width="12.21875" style="11" customWidth="1"/>
    <col min="3579" max="3580" width="11.77734375" style="11" customWidth="1"/>
    <col min="3581" max="3829" width="9.21875" style="11"/>
    <col min="3830" max="3830" width="6.44140625" style="11" customWidth="1"/>
    <col min="3831" max="3831" width="47.77734375" style="11" customWidth="1"/>
    <col min="3832" max="3832" width="12.77734375" style="11" customWidth="1"/>
    <col min="3833" max="3833" width="14.44140625" style="11" customWidth="1"/>
    <col min="3834" max="3834" width="12.21875" style="11" customWidth="1"/>
    <col min="3835" max="3836" width="11.77734375" style="11" customWidth="1"/>
    <col min="3837" max="4085" width="9.21875" style="11"/>
    <col min="4086" max="4086" width="6.44140625" style="11" customWidth="1"/>
    <col min="4087" max="4087" width="47.77734375" style="11" customWidth="1"/>
    <col min="4088" max="4088" width="12.77734375" style="11" customWidth="1"/>
    <col min="4089" max="4089" width="14.44140625" style="11" customWidth="1"/>
    <col min="4090" max="4090" width="12.21875" style="11" customWidth="1"/>
    <col min="4091" max="4092" width="11.77734375" style="11" customWidth="1"/>
    <col min="4093" max="4341" width="9.21875" style="11"/>
    <col min="4342" max="4342" width="6.44140625" style="11" customWidth="1"/>
    <col min="4343" max="4343" width="47.77734375" style="11" customWidth="1"/>
    <col min="4344" max="4344" width="12.77734375" style="11" customWidth="1"/>
    <col min="4345" max="4345" width="14.44140625" style="11" customWidth="1"/>
    <col min="4346" max="4346" width="12.21875" style="11" customWidth="1"/>
    <col min="4347" max="4348" width="11.77734375" style="11" customWidth="1"/>
    <col min="4349" max="4597" width="9.21875" style="11"/>
    <col min="4598" max="4598" width="6.44140625" style="11" customWidth="1"/>
    <col min="4599" max="4599" width="47.77734375" style="11" customWidth="1"/>
    <col min="4600" max="4600" width="12.77734375" style="11" customWidth="1"/>
    <col min="4601" max="4601" width="14.44140625" style="11" customWidth="1"/>
    <col min="4602" max="4602" width="12.21875" style="11" customWidth="1"/>
    <col min="4603" max="4604" width="11.77734375" style="11" customWidth="1"/>
    <col min="4605" max="4853" width="9.21875" style="11"/>
    <col min="4854" max="4854" width="6.44140625" style="11" customWidth="1"/>
    <col min="4855" max="4855" width="47.77734375" style="11" customWidth="1"/>
    <col min="4856" max="4856" width="12.77734375" style="11" customWidth="1"/>
    <col min="4857" max="4857" width="14.44140625" style="11" customWidth="1"/>
    <col min="4858" max="4858" width="12.21875" style="11" customWidth="1"/>
    <col min="4859" max="4860" width="11.77734375" style="11" customWidth="1"/>
    <col min="4861" max="5109" width="9.21875" style="11"/>
    <col min="5110" max="5110" width="6.44140625" style="11" customWidth="1"/>
    <col min="5111" max="5111" width="47.77734375" style="11" customWidth="1"/>
    <col min="5112" max="5112" width="12.77734375" style="11" customWidth="1"/>
    <col min="5113" max="5113" width="14.44140625" style="11" customWidth="1"/>
    <col min="5114" max="5114" width="12.21875" style="11" customWidth="1"/>
    <col min="5115" max="5116" width="11.77734375" style="11" customWidth="1"/>
    <col min="5117" max="5365" width="9.21875" style="11"/>
    <col min="5366" max="5366" width="6.44140625" style="11" customWidth="1"/>
    <col min="5367" max="5367" width="47.77734375" style="11" customWidth="1"/>
    <col min="5368" max="5368" width="12.77734375" style="11" customWidth="1"/>
    <col min="5369" max="5369" width="14.44140625" style="11" customWidth="1"/>
    <col min="5370" max="5370" width="12.21875" style="11" customWidth="1"/>
    <col min="5371" max="5372" width="11.77734375" style="11" customWidth="1"/>
    <col min="5373" max="5621" width="9.21875" style="11"/>
    <col min="5622" max="5622" width="6.44140625" style="11" customWidth="1"/>
    <col min="5623" max="5623" width="47.77734375" style="11" customWidth="1"/>
    <col min="5624" max="5624" width="12.77734375" style="11" customWidth="1"/>
    <col min="5625" max="5625" width="14.44140625" style="11" customWidth="1"/>
    <col min="5626" max="5626" width="12.21875" style="11" customWidth="1"/>
    <col min="5627" max="5628" width="11.77734375" style="11" customWidth="1"/>
    <col min="5629" max="5877" width="9.21875" style="11"/>
    <col min="5878" max="5878" width="6.44140625" style="11" customWidth="1"/>
    <col min="5879" max="5879" width="47.77734375" style="11" customWidth="1"/>
    <col min="5880" max="5880" width="12.77734375" style="11" customWidth="1"/>
    <col min="5881" max="5881" width="14.44140625" style="11" customWidth="1"/>
    <col min="5882" max="5882" width="12.21875" style="11" customWidth="1"/>
    <col min="5883" max="5884" width="11.77734375" style="11" customWidth="1"/>
    <col min="5885" max="6133" width="9.21875" style="11"/>
    <col min="6134" max="6134" width="6.44140625" style="11" customWidth="1"/>
    <col min="6135" max="6135" width="47.77734375" style="11" customWidth="1"/>
    <col min="6136" max="6136" width="12.77734375" style="11" customWidth="1"/>
    <col min="6137" max="6137" width="14.44140625" style="11" customWidth="1"/>
    <col min="6138" max="6138" width="12.21875" style="11" customWidth="1"/>
    <col min="6139" max="6140" width="11.77734375" style="11" customWidth="1"/>
    <col min="6141" max="6389" width="9.21875" style="11"/>
    <col min="6390" max="6390" width="6.44140625" style="11" customWidth="1"/>
    <col min="6391" max="6391" width="47.77734375" style="11" customWidth="1"/>
    <col min="6392" max="6392" width="12.77734375" style="11" customWidth="1"/>
    <col min="6393" max="6393" width="14.44140625" style="11" customWidth="1"/>
    <col min="6394" max="6394" width="12.21875" style="11" customWidth="1"/>
    <col min="6395" max="6396" width="11.77734375" style="11" customWidth="1"/>
    <col min="6397" max="6645" width="9.21875" style="11"/>
    <col min="6646" max="6646" width="6.44140625" style="11" customWidth="1"/>
    <col min="6647" max="6647" width="47.77734375" style="11" customWidth="1"/>
    <col min="6648" max="6648" width="12.77734375" style="11" customWidth="1"/>
    <col min="6649" max="6649" width="14.44140625" style="11" customWidth="1"/>
    <col min="6650" max="6650" width="12.21875" style="11" customWidth="1"/>
    <col min="6651" max="6652" width="11.77734375" style="11" customWidth="1"/>
    <col min="6653" max="6901" width="9.21875" style="11"/>
    <col min="6902" max="6902" width="6.44140625" style="11" customWidth="1"/>
    <col min="6903" max="6903" width="47.77734375" style="11" customWidth="1"/>
    <col min="6904" max="6904" width="12.77734375" style="11" customWidth="1"/>
    <col min="6905" max="6905" width="14.44140625" style="11" customWidth="1"/>
    <col min="6906" max="6906" width="12.21875" style="11" customWidth="1"/>
    <col min="6907" max="6908" width="11.77734375" style="11" customWidth="1"/>
    <col min="6909" max="7157" width="9.21875" style="11"/>
    <col min="7158" max="7158" width="6.44140625" style="11" customWidth="1"/>
    <col min="7159" max="7159" width="47.77734375" style="11" customWidth="1"/>
    <col min="7160" max="7160" width="12.77734375" style="11" customWidth="1"/>
    <col min="7161" max="7161" width="14.44140625" style="11" customWidth="1"/>
    <col min="7162" max="7162" width="12.21875" style="11" customWidth="1"/>
    <col min="7163" max="7164" width="11.77734375" style="11" customWidth="1"/>
    <col min="7165" max="7413" width="9.21875" style="11"/>
    <col min="7414" max="7414" width="6.44140625" style="11" customWidth="1"/>
    <col min="7415" max="7415" width="47.77734375" style="11" customWidth="1"/>
    <col min="7416" max="7416" width="12.77734375" style="11" customWidth="1"/>
    <col min="7417" max="7417" width="14.44140625" style="11" customWidth="1"/>
    <col min="7418" max="7418" width="12.21875" style="11" customWidth="1"/>
    <col min="7419" max="7420" width="11.77734375" style="11" customWidth="1"/>
    <col min="7421" max="7669" width="9.21875" style="11"/>
    <col min="7670" max="7670" width="6.44140625" style="11" customWidth="1"/>
    <col min="7671" max="7671" width="47.77734375" style="11" customWidth="1"/>
    <col min="7672" max="7672" width="12.77734375" style="11" customWidth="1"/>
    <col min="7673" max="7673" width="14.44140625" style="11" customWidth="1"/>
    <col min="7674" max="7674" width="12.21875" style="11" customWidth="1"/>
    <col min="7675" max="7676" width="11.77734375" style="11" customWidth="1"/>
    <col min="7677" max="7925" width="9.21875" style="11"/>
    <col min="7926" max="7926" width="6.44140625" style="11" customWidth="1"/>
    <col min="7927" max="7927" width="47.77734375" style="11" customWidth="1"/>
    <col min="7928" max="7928" width="12.77734375" style="11" customWidth="1"/>
    <col min="7929" max="7929" width="14.44140625" style="11" customWidth="1"/>
    <col min="7930" max="7930" width="12.21875" style="11" customWidth="1"/>
    <col min="7931" max="7932" width="11.77734375" style="11" customWidth="1"/>
    <col min="7933" max="8181" width="9.21875" style="11"/>
    <col min="8182" max="8182" width="6.44140625" style="11" customWidth="1"/>
    <col min="8183" max="8183" width="47.77734375" style="11" customWidth="1"/>
    <col min="8184" max="8184" width="12.77734375" style="11" customWidth="1"/>
    <col min="8185" max="8185" width="14.44140625" style="11" customWidth="1"/>
    <col min="8186" max="8186" width="12.21875" style="11" customWidth="1"/>
    <col min="8187" max="8188" width="11.77734375" style="11" customWidth="1"/>
    <col min="8189" max="8437" width="9.21875" style="11"/>
    <col min="8438" max="8438" width="6.44140625" style="11" customWidth="1"/>
    <col min="8439" max="8439" width="47.77734375" style="11" customWidth="1"/>
    <col min="8440" max="8440" width="12.77734375" style="11" customWidth="1"/>
    <col min="8441" max="8441" width="14.44140625" style="11" customWidth="1"/>
    <col min="8442" max="8442" width="12.21875" style="11" customWidth="1"/>
    <col min="8443" max="8444" width="11.77734375" style="11" customWidth="1"/>
    <col min="8445" max="8693" width="9.21875" style="11"/>
    <col min="8694" max="8694" width="6.44140625" style="11" customWidth="1"/>
    <col min="8695" max="8695" width="47.77734375" style="11" customWidth="1"/>
    <col min="8696" max="8696" width="12.77734375" style="11" customWidth="1"/>
    <col min="8697" max="8697" width="14.44140625" style="11" customWidth="1"/>
    <col min="8698" max="8698" width="12.21875" style="11" customWidth="1"/>
    <col min="8699" max="8700" width="11.77734375" style="11" customWidth="1"/>
    <col min="8701" max="8949" width="9.21875" style="11"/>
    <col min="8950" max="8950" width="6.44140625" style="11" customWidth="1"/>
    <col min="8951" max="8951" width="47.77734375" style="11" customWidth="1"/>
    <col min="8952" max="8952" width="12.77734375" style="11" customWidth="1"/>
    <col min="8953" max="8953" width="14.44140625" style="11" customWidth="1"/>
    <col min="8954" max="8954" width="12.21875" style="11" customWidth="1"/>
    <col min="8955" max="8956" width="11.77734375" style="11" customWidth="1"/>
    <col min="8957" max="9205" width="9.21875" style="11"/>
    <col min="9206" max="9206" width="6.44140625" style="11" customWidth="1"/>
    <col min="9207" max="9207" width="47.77734375" style="11" customWidth="1"/>
    <col min="9208" max="9208" width="12.77734375" style="11" customWidth="1"/>
    <col min="9209" max="9209" width="14.44140625" style="11" customWidth="1"/>
    <col min="9210" max="9210" width="12.21875" style="11" customWidth="1"/>
    <col min="9211" max="9212" width="11.77734375" style="11" customWidth="1"/>
    <col min="9213" max="9461" width="9.21875" style="11"/>
    <col min="9462" max="9462" width="6.44140625" style="11" customWidth="1"/>
    <col min="9463" max="9463" width="47.77734375" style="11" customWidth="1"/>
    <col min="9464" max="9464" width="12.77734375" style="11" customWidth="1"/>
    <col min="9465" max="9465" width="14.44140625" style="11" customWidth="1"/>
    <col min="9466" max="9466" width="12.21875" style="11" customWidth="1"/>
    <col min="9467" max="9468" width="11.77734375" style="11" customWidth="1"/>
    <col min="9469" max="9717" width="9.21875" style="11"/>
    <col min="9718" max="9718" width="6.44140625" style="11" customWidth="1"/>
    <col min="9719" max="9719" width="47.77734375" style="11" customWidth="1"/>
    <col min="9720" max="9720" width="12.77734375" style="11" customWidth="1"/>
    <col min="9721" max="9721" width="14.44140625" style="11" customWidth="1"/>
    <col min="9722" max="9722" width="12.21875" style="11" customWidth="1"/>
    <col min="9723" max="9724" width="11.77734375" style="11" customWidth="1"/>
    <col min="9725" max="9973" width="9.21875" style="11"/>
    <col min="9974" max="9974" width="6.44140625" style="11" customWidth="1"/>
    <col min="9975" max="9975" width="47.77734375" style="11" customWidth="1"/>
    <col min="9976" max="9976" width="12.77734375" style="11" customWidth="1"/>
    <col min="9977" max="9977" width="14.44140625" style="11" customWidth="1"/>
    <col min="9978" max="9978" width="12.21875" style="11" customWidth="1"/>
    <col min="9979" max="9980" width="11.77734375" style="11" customWidth="1"/>
    <col min="9981" max="10229" width="9.21875" style="11"/>
    <col min="10230" max="10230" width="6.44140625" style="11" customWidth="1"/>
    <col min="10231" max="10231" width="47.77734375" style="11" customWidth="1"/>
    <col min="10232" max="10232" width="12.77734375" style="11" customWidth="1"/>
    <col min="10233" max="10233" width="14.44140625" style="11" customWidth="1"/>
    <col min="10234" max="10234" width="12.21875" style="11" customWidth="1"/>
    <col min="10235" max="10236" width="11.77734375" style="11" customWidth="1"/>
    <col min="10237" max="10485" width="9.21875" style="11"/>
    <col min="10486" max="10486" width="6.44140625" style="11" customWidth="1"/>
    <col min="10487" max="10487" width="47.77734375" style="11" customWidth="1"/>
    <col min="10488" max="10488" width="12.77734375" style="11" customWidth="1"/>
    <col min="10489" max="10489" width="14.44140625" style="11" customWidth="1"/>
    <col min="10490" max="10490" width="12.21875" style="11" customWidth="1"/>
    <col min="10491" max="10492" width="11.77734375" style="11" customWidth="1"/>
    <col min="10493" max="10741" width="9.21875" style="11"/>
    <col min="10742" max="10742" width="6.44140625" style="11" customWidth="1"/>
    <col min="10743" max="10743" width="47.77734375" style="11" customWidth="1"/>
    <col min="10744" max="10744" width="12.77734375" style="11" customWidth="1"/>
    <col min="10745" max="10745" width="14.44140625" style="11" customWidth="1"/>
    <col min="10746" max="10746" width="12.21875" style="11" customWidth="1"/>
    <col min="10747" max="10748" width="11.77734375" style="11" customWidth="1"/>
    <col min="10749" max="10997" width="9.21875" style="11"/>
    <col min="10998" max="10998" width="6.44140625" style="11" customWidth="1"/>
    <col min="10999" max="10999" width="47.77734375" style="11" customWidth="1"/>
    <col min="11000" max="11000" width="12.77734375" style="11" customWidth="1"/>
    <col min="11001" max="11001" width="14.44140625" style="11" customWidth="1"/>
    <col min="11002" max="11002" width="12.21875" style="11" customWidth="1"/>
    <col min="11003" max="11004" width="11.77734375" style="11" customWidth="1"/>
    <col min="11005" max="11253" width="9.21875" style="11"/>
    <col min="11254" max="11254" width="6.44140625" style="11" customWidth="1"/>
    <col min="11255" max="11255" width="47.77734375" style="11" customWidth="1"/>
    <col min="11256" max="11256" width="12.77734375" style="11" customWidth="1"/>
    <col min="11257" max="11257" width="14.44140625" style="11" customWidth="1"/>
    <col min="11258" max="11258" width="12.21875" style="11" customWidth="1"/>
    <col min="11259" max="11260" width="11.77734375" style="11" customWidth="1"/>
    <col min="11261" max="11509" width="9.21875" style="11"/>
    <col min="11510" max="11510" width="6.44140625" style="11" customWidth="1"/>
    <col min="11511" max="11511" width="47.77734375" style="11" customWidth="1"/>
    <col min="11512" max="11512" width="12.77734375" style="11" customWidth="1"/>
    <col min="11513" max="11513" width="14.44140625" style="11" customWidth="1"/>
    <col min="11514" max="11514" width="12.21875" style="11" customWidth="1"/>
    <col min="11515" max="11516" width="11.77734375" style="11" customWidth="1"/>
    <col min="11517" max="11765" width="9.21875" style="11"/>
    <col min="11766" max="11766" width="6.44140625" style="11" customWidth="1"/>
    <col min="11767" max="11767" width="47.77734375" style="11" customWidth="1"/>
    <col min="11768" max="11768" width="12.77734375" style="11" customWidth="1"/>
    <col min="11769" max="11769" width="14.44140625" style="11" customWidth="1"/>
    <col min="11770" max="11770" width="12.21875" style="11" customWidth="1"/>
    <col min="11771" max="11772" width="11.77734375" style="11" customWidth="1"/>
    <col min="11773" max="12021" width="9.21875" style="11"/>
    <col min="12022" max="12022" width="6.44140625" style="11" customWidth="1"/>
    <col min="12023" max="12023" width="47.77734375" style="11" customWidth="1"/>
    <col min="12024" max="12024" width="12.77734375" style="11" customWidth="1"/>
    <col min="12025" max="12025" width="14.44140625" style="11" customWidth="1"/>
    <col min="12026" max="12026" width="12.21875" style="11" customWidth="1"/>
    <col min="12027" max="12028" width="11.77734375" style="11" customWidth="1"/>
    <col min="12029" max="12277" width="9.21875" style="11"/>
    <col min="12278" max="12278" width="6.44140625" style="11" customWidth="1"/>
    <col min="12279" max="12279" width="47.77734375" style="11" customWidth="1"/>
    <col min="12280" max="12280" width="12.77734375" style="11" customWidth="1"/>
    <col min="12281" max="12281" width="14.44140625" style="11" customWidth="1"/>
    <col min="12282" max="12282" width="12.21875" style="11" customWidth="1"/>
    <col min="12283" max="12284" width="11.77734375" style="11" customWidth="1"/>
    <col min="12285" max="12533" width="9.21875" style="11"/>
    <col min="12534" max="12534" width="6.44140625" style="11" customWidth="1"/>
    <col min="12535" max="12535" width="47.77734375" style="11" customWidth="1"/>
    <col min="12536" max="12536" width="12.77734375" style="11" customWidth="1"/>
    <col min="12537" max="12537" width="14.44140625" style="11" customWidth="1"/>
    <col min="12538" max="12538" width="12.21875" style="11" customWidth="1"/>
    <col min="12539" max="12540" width="11.77734375" style="11" customWidth="1"/>
    <col min="12541" max="12789" width="9.21875" style="11"/>
    <col min="12790" max="12790" width="6.44140625" style="11" customWidth="1"/>
    <col min="12791" max="12791" width="47.77734375" style="11" customWidth="1"/>
    <col min="12792" max="12792" width="12.77734375" style="11" customWidth="1"/>
    <col min="12793" max="12793" width="14.44140625" style="11" customWidth="1"/>
    <col min="12794" max="12794" width="12.21875" style="11" customWidth="1"/>
    <col min="12795" max="12796" width="11.77734375" style="11" customWidth="1"/>
    <col min="12797" max="13045" width="9.21875" style="11"/>
    <col min="13046" max="13046" width="6.44140625" style="11" customWidth="1"/>
    <col min="13047" max="13047" width="47.77734375" style="11" customWidth="1"/>
    <col min="13048" max="13048" width="12.77734375" style="11" customWidth="1"/>
    <col min="13049" max="13049" width="14.44140625" style="11" customWidth="1"/>
    <col min="13050" max="13050" width="12.21875" style="11" customWidth="1"/>
    <col min="13051" max="13052" width="11.77734375" style="11" customWidth="1"/>
    <col min="13053" max="13301" width="9.21875" style="11"/>
    <col min="13302" max="13302" width="6.44140625" style="11" customWidth="1"/>
    <col min="13303" max="13303" width="47.77734375" style="11" customWidth="1"/>
    <col min="13304" max="13304" width="12.77734375" style="11" customWidth="1"/>
    <col min="13305" max="13305" width="14.44140625" style="11" customWidth="1"/>
    <col min="13306" max="13306" width="12.21875" style="11" customWidth="1"/>
    <col min="13307" max="13308" width="11.77734375" style="11" customWidth="1"/>
    <col min="13309" max="13557" width="9.21875" style="11"/>
    <col min="13558" max="13558" width="6.44140625" style="11" customWidth="1"/>
    <col min="13559" max="13559" width="47.77734375" style="11" customWidth="1"/>
    <col min="13560" max="13560" width="12.77734375" style="11" customWidth="1"/>
    <col min="13561" max="13561" width="14.44140625" style="11" customWidth="1"/>
    <col min="13562" max="13562" width="12.21875" style="11" customWidth="1"/>
    <col min="13563" max="13564" width="11.77734375" style="11" customWidth="1"/>
    <col min="13565" max="13813" width="9.21875" style="11"/>
    <col min="13814" max="13814" width="6.44140625" style="11" customWidth="1"/>
    <col min="13815" max="13815" width="47.77734375" style="11" customWidth="1"/>
    <col min="13816" max="13816" width="12.77734375" style="11" customWidth="1"/>
    <col min="13817" max="13817" width="14.44140625" style="11" customWidth="1"/>
    <col min="13818" max="13818" width="12.21875" style="11" customWidth="1"/>
    <col min="13819" max="13820" width="11.77734375" style="11" customWidth="1"/>
    <col min="13821" max="14069" width="9.21875" style="11"/>
    <col min="14070" max="14070" width="6.44140625" style="11" customWidth="1"/>
    <col min="14071" max="14071" width="47.77734375" style="11" customWidth="1"/>
    <col min="14072" max="14072" width="12.77734375" style="11" customWidth="1"/>
    <col min="14073" max="14073" width="14.44140625" style="11" customWidth="1"/>
    <col min="14074" max="14074" width="12.21875" style="11" customWidth="1"/>
    <col min="14075" max="14076" width="11.77734375" style="11" customWidth="1"/>
    <col min="14077" max="14325" width="9.21875" style="11"/>
    <col min="14326" max="14326" width="6.44140625" style="11" customWidth="1"/>
    <col min="14327" max="14327" width="47.77734375" style="11" customWidth="1"/>
    <col min="14328" max="14328" width="12.77734375" style="11" customWidth="1"/>
    <col min="14329" max="14329" width="14.44140625" style="11" customWidth="1"/>
    <col min="14330" max="14330" width="12.21875" style="11" customWidth="1"/>
    <col min="14331" max="14332" width="11.77734375" style="11" customWidth="1"/>
    <col min="14333" max="14581" width="9.21875" style="11"/>
    <col min="14582" max="14582" width="6.44140625" style="11" customWidth="1"/>
    <col min="14583" max="14583" width="47.77734375" style="11" customWidth="1"/>
    <col min="14584" max="14584" width="12.77734375" style="11" customWidth="1"/>
    <col min="14585" max="14585" width="14.44140625" style="11" customWidth="1"/>
    <col min="14586" max="14586" width="12.21875" style="11" customWidth="1"/>
    <col min="14587" max="14588" width="11.77734375" style="11" customWidth="1"/>
    <col min="14589" max="14837" width="9.21875" style="11"/>
    <col min="14838" max="14838" width="6.44140625" style="11" customWidth="1"/>
    <col min="14839" max="14839" width="47.77734375" style="11" customWidth="1"/>
    <col min="14840" max="14840" width="12.77734375" style="11" customWidth="1"/>
    <col min="14841" max="14841" width="14.44140625" style="11" customWidth="1"/>
    <col min="14842" max="14842" width="12.21875" style="11" customWidth="1"/>
    <col min="14843" max="14844" width="11.77734375" style="11" customWidth="1"/>
    <col min="14845" max="15093" width="9.21875" style="11"/>
    <col min="15094" max="15094" width="6.44140625" style="11" customWidth="1"/>
    <col min="15095" max="15095" width="47.77734375" style="11" customWidth="1"/>
    <col min="15096" max="15096" width="12.77734375" style="11" customWidth="1"/>
    <col min="15097" max="15097" width="14.44140625" style="11" customWidth="1"/>
    <col min="15098" max="15098" width="12.21875" style="11" customWidth="1"/>
    <col min="15099" max="15100" width="11.77734375" style="11" customWidth="1"/>
    <col min="15101" max="15349" width="9.21875" style="11"/>
    <col min="15350" max="15350" width="6.44140625" style="11" customWidth="1"/>
    <col min="15351" max="15351" width="47.77734375" style="11" customWidth="1"/>
    <col min="15352" max="15352" width="12.77734375" style="11" customWidth="1"/>
    <col min="15353" max="15353" width="14.44140625" style="11" customWidth="1"/>
    <col min="15354" max="15354" width="12.21875" style="11" customWidth="1"/>
    <col min="15355" max="15356" width="11.77734375" style="11" customWidth="1"/>
    <col min="15357" max="15605" width="9.21875" style="11"/>
    <col min="15606" max="15606" width="6.44140625" style="11" customWidth="1"/>
    <col min="15607" max="15607" width="47.77734375" style="11" customWidth="1"/>
    <col min="15608" max="15608" width="12.77734375" style="11" customWidth="1"/>
    <col min="15609" max="15609" width="14.44140625" style="11" customWidth="1"/>
    <col min="15610" max="15610" width="12.21875" style="11" customWidth="1"/>
    <col min="15611" max="15612" width="11.77734375" style="11" customWidth="1"/>
    <col min="15613" max="15861" width="9.21875" style="11"/>
    <col min="15862" max="15862" width="6.44140625" style="11" customWidth="1"/>
    <col min="15863" max="15863" width="47.77734375" style="11" customWidth="1"/>
    <col min="15864" max="15864" width="12.77734375" style="11" customWidth="1"/>
    <col min="15865" max="15865" width="14.44140625" style="11" customWidth="1"/>
    <col min="15866" max="15866" width="12.21875" style="11" customWidth="1"/>
    <col min="15867" max="15868" width="11.77734375" style="11" customWidth="1"/>
    <col min="15869" max="16117" width="9.21875" style="11"/>
    <col min="16118" max="16118" width="6.44140625" style="11" customWidth="1"/>
    <col min="16119" max="16119" width="47.77734375" style="11" customWidth="1"/>
    <col min="16120" max="16120" width="12.77734375" style="11" customWidth="1"/>
    <col min="16121" max="16121" width="14.44140625" style="11" customWidth="1"/>
    <col min="16122" max="16122" width="12.21875" style="11" customWidth="1"/>
    <col min="16123" max="16124" width="11.77734375" style="11" customWidth="1"/>
    <col min="16125" max="16384" width="9.21875" style="11"/>
  </cols>
  <sheetData>
    <row r="1" spans="1:33" x14ac:dyDescent="0.25">
      <c r="A1" s="191"/>
      <c r="B1" s="191"/>
    </row>
    <row r="2" spans="1:33" ht="24.45" customHeight="1" x14ac:dyDescent="0.25">
      <c r="A2" s="746" t="s">
        <v>548</v>
      </c>
      <c r="B2" s="746"/>
      <c r="C2" s="746"/>
      <c r="D2" s="440"/>
      <c r="E2" s="440"/>
    </row>
    <row r="3" spans="1:33" x14ac:dyDescent="0.25">
      <c r="A3" s="191"/>
      <c r="B3" s="191"/>
    </row>
    <row r="4" spans="1:33" ht="23.55" customHeight="1" x14ac:dyDescent="0.25">
      <c r="A4" s="747" t="s">
        <v>150</v>
      </c>
      <c r="B4" s="747" t="s">
        <v>233</v>
      </c>
      <c r="C4" s="189" t="s">
        <v>561</v>
      </c>
      <c r="D4" s="441" t="s">
        <v>549</v>
      </c>
      <c r="E4" s="192" t="s">
        <v>549</v>
      </c>
      <c r="F4" s="744" t="s">
        <v>713</v>
      </c>
      <c r="G4" s="745"/>
      <c r="H4" s="742" t="s">
        <v>710</v>
      </c>
      <c r="I4" s="742" t="s">
        <v>711</v>
      </c>
      <c r="J4" s="744" t="s">
        <v>712</v>
      </c>
      <c r="K4" s="745"/>
      <c r="L4" s="742" t="s">
        <v>714</v>
      </c>
      <c r="M4" s="742" t="s">
        <v>711</v>
      </c>
      <c r="N4" s="744" t="s">
        <v>715</v>
      </c>
      <c r="O4" s="745"/>
      <c r="P4" s="749" t="s">
        <v>783</v>
      </c>
      <c r="Q4" s="742" t="s">
        <v>711</v>
      </c>
      <c r="R4" s="744" t="s">
        <v>784</v>
      </c>
      <c r="S4" s="745"/>
      <c r="T4" s="749" t="s">
        <v>785</v>
      </c>
      <c r="U4" s="742" t="s">
        <v>711</v>
      </c>
      <c r="V4" s="744" t="s">
        <v>786</v>
      </c>
      <c r="W4" s="745"/>
      <c r="X4" s="749" t="s">
        <v>787</v>
      </c>
      <c r="Y4" s="742" t="s">
        <v>711</v>
      </c>
      <c r="Z4" s="744" t="s">
        <v>788</v>
      </c>
      <c r="AA4" s="745"/>
      <c r="AB4" s="749" t="s">
        <v>789</v>
      </c>
      <c r="AC4" s="742" t="s">
        <v>711</v>
      </c>
      <c r="AD4" s="744" t="s">
        <v>841</v>
      </c>
      <c r="AE4" s="745"/>
      <c r="AF4" s="749" t="s">
        <v>842</v>
      </c>
      <c r="AG4" s="742" t="s">
        <v>711</v>
      </c>
    </row>
    <row r="5" spans="1:33" ht="52.8" x14ac:dyDescent="0.25">
      <c r="A5" s="748"/>
      <c r="B5" s="748"/>
      <c r="C5" s="441" t="s">
        <v>560</v>
      </c>
      <c r="D5" s="441" t="s">
        <v>562</v>
      </c>
      <c r="E5" s="192" t="s">
        <v>566</v>
      </c>
      <c r="F5" s="441" t="s">
        <v>549</v>
      </c>
      <c r="G5" s="189" t="s">
        <v>561</v>
      </c>
      <c r="H5" s="743"/>
      <c r="I5" s="743"/>
      <c r="J5" s="441" t="s">
        <v>549</v>
      </c>
      <c r="K5" s="189" t="s">
        <v>561</v>
      </c>
      <c r="L5" s="743"/>
      <c r="M5" s="743"/>
      <c r="N5" s="441" t="s">
        <v>549</v>
      </c>
      <c r="O5" s="189" t="s">
        <v>561</v>
      </c>
      <c r="P5" s="749"/>
      <c r="Q5" s="743"/>
      <c r="R5" s="441" t="s">
        <v>549</v>
      </c>
      <c r="S5" s="189" t="s">
        <v>561</v>
      </c>
      <c r="T5" s="749"/>
      <c r="U5" s="743"/>
      <c r="V5" s="441" t="s">
        <v>549</v>
      </c>
      <c r="W5" s="189" t="s">
        <v>561</v>
      </c>
      <c r="X5" s="749"/>
      <c r="Y5" s="743"/>
      <c r="Z5" s="441" t="s">
        <v>549</v>
      </c>
      <c r="AA5" s="189" t="s">
        <v>561</v>
      </c>
      <c r="AB5" s="749"/>
      <c r="AC5" s="743"/>
      <c r="AD5" s="441" t="s">
        <v>549</v>
      </c>
      <c r="AE5" s="189" t="s">
        <v>561</v>
      </c>
      <c r="AF5" s="749"/>
      <c r="AG5" s="743"/>
    </row>
    <row r="6" spans="1:33" x14ac:dyDescent="0.25">
      <c r="A6" s="240">
        <v>1</v>
      </c>
      <c r="B6" s="240">
        <v>2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</row>
    <row r="7" spans="1:33" outlineLevel="1" x14ac:dyDescent="0.25">
      <c r="A7" s="50" t="s">
        <v>17</v>
      </c>
      <c r="B7" s="193" t="s">
        <v>299</v>
      </c>
      <c r="C7" s="183">
        <v>1217.0317736555569</v>
      </c>
      <c r="D7" s="183">
        <v>2025.5</v>
      </c>
      <c r="E7" s="183">
        <f>D7-C7</f>
        <v>808.46822634444311</v>
      </c>
      <c r="F7" s="183">
        <v>2879</v>
      </c>
      <c r="G7" s="183">
        <v>2057.25</v>
      </c>
      <c r="H7" s="183">
        <v>2051.5500000000002</v>
      </c>
      <c r="I7" s="183">
        <f>H7-G7</f>
        <v>-5.6999999999998181</v>
      </c>
      <c r="J7" s="182">
        <v>4119.97</v>
      </c>
      <c r="K7" s="182">
        <v>2216.44</v>
      </c>
      <c r="L7" s="182">
        <v>1846.34</v>
      </c>
      <c r="M7" s="183">
        <f>L7-K7</f>
        <v>-370.10000000000014</v>
      </c>
      <c r="N7" s="182">
        <v>4621.03</v>
      </c>
      <c r="O7" s="182">
        <v>2297.41</v>
      </c>
      <c r="P7" s="182">
        <v>968.28</v>
      </c>
      <c r="Q7" s="182">
        <f>P7-O7</f>
        <v>-1329.1299999999999</v>
      </c>
      <c r="R7" s="182">
        <v>3836.46</v>
      </c>
      <c r="S7" s="182">
        <v>3284.31</v>
      </c>
      <c r="T7" s="182">
        <v>1396.73</v>
      </c>
      <c r="U7" s="182">
        <f>T7-S7</f>
        <v>-1887.58</v>
      </c>
      <c r="V7" s="182">
        <v>3279.05</v>
      </c>
      <c r="W7" s="182">
        <v>3440.87</v>
      </c>
      <c r="X7" s="182">
        <v>3638.98</v>
      </c>
      <c r="Y7" s="182">
        <f>X7-W7</f>
        <v>198.11000000000013</v>
      </c>
      <c r="Z7" s="182">
        <v>3273.8</v>
      </c>
      <c r="AA7" s="182">
        <v>3404.96</v>
      </c>
      <c r="AB7" s="182">
        <v>8680.59</v>
      </c>
      <c r="AC7" s="182">
        <f>AB7-AA7</f>
        <v>5275.63</v>
      </c>
      <c r="AD7" s="182">
        <v>3268.57</v>
      </c>
      <c r="AE7" s="182">
        <v>3386.44</v>
      </c>
      <c r="AF7" s="182">
        <v>7466.27</v>
      </c>
      <c r="AG7" s="182">
        <f>AF7-AE7</f>
        <v>4079.8300000000004</v>
      </c>
    </row>
    <row r="8" spans="1:33" outlineLevel="1" x14ac:dyDescent="0.25">
      <c r="A8" s="50" t="s">
        <v>19</v>
      </c>
      <c r="B8" s="193" t="s">
        <v>550</v>
      </c>
      <c r="C8" s="184">
        <v>2069.4876643642392</v>
      </c>
      <c r="D8" s="184">
        <v>1814.3</v>
      </c>
      <c r="E8" s="183">
        <f t="shared" ref="E8:E45" si="0">D8-C8</f>
        <v>-255.18766436423925</v>
      </c>
      <c r="F8" s="183">
        <v>3577</v>
      </c>
      <c r="G8" s="183">
        <v>2154.38</v>
      </c>
      <c r="H8" s="183">
        <v>2271.4499999999998</v>
      </c>
      <c r="I8" s="183">
        <f t="shared" ref="I8:I47" si="1">H8-G8</f>
        <v>117.06999999999971</v>
      </c>
      <c r="J8" s="182">
        <v>5391.1</v>
      </c>
      <c r="K8" s="182">
        <v>2321.08</v>
      </c>
      <c r="L8" s="182">
        <v>3691.38</v>
      </c>
      <c r="M8" s="183">
        <f t="shared" ref="M8:M38" si="2">L8-K8</f>
        <v>1370.3000000000002</v>
      </c>
      <c r="N8" s="182">
        <v>2897.8</v>
      </c>
      <c r="O8" s="182">
        <v>2405.87</v>
      </c>
      <c r="P8" s="182">
        <v>3092.23</v>
      </c>
      <c r="Q8" s="182">
        <f>P8-O8</f>
        <v>686.36000000000013</v>
      </c>
      <c r="R8" s="182">
        <v>7375.51</v>
      </c>
      <c r="S8" s="182">
        <v>3907.19</v>
      </c>
      <c r="T8" s="182">
        <v>3270.65</v>
      </c>
      <c r="U8" s="182">
        <f>T8-S8</f>
        <v>-636.54</v>
      </c>
      <c r="V8" s="182">
        <v>3900.94</v>
      </c>
      <c r="W8" s="182">
        <v>4093.45</v>
      </c>
      <c r="X8" s="182">
        <v>4147.26</v>
      </c>
      <c r="Y8" s="182">
        <f>X8-W8</f>
        <v>53.8100000000004</v>
      </c>
      <c r="Z8" s="182">
        <v>3894.7</v>
      </c>
      <c r="AA8" s="182">
        <v>4050.74</v>
      </c>
      <c r="AB8" s="182">
        <v>5645.72</v>
      </c>
      <c r="AC8" s="182">
        <f>AB8-AA8</f>
        <v>1594.9800000000005</v>
      </c>
      <c r="AD8" s="182">
        <v>3888.47</v>
      </c>
      <c r="AE8" s="183">
        <v>4028.7</v>
      </c>
      <c r="AF8" s="182">
        <v>5400.66</v>
      </c>
      <c r="AG8" s="182">
        <f>AF8-AE8</f>
        <v>1371.96</v>
      </c>
    </row>
    <row r="9" spans="1:33" outlineLevel="1" x14ac:dyDescent="0.25">
      <c r="A9" s="50"/>
      <c r="B9" s="193" t="s">
        <v>300</v>
      </c>
      <c r="C9" s="182"/>
      <c r="D9" s="182"/>
      <c r="E9" s="183">
        <f t="shared" si="0"/>
        <v>0</v>
      </c>
      <c r="F9" s="183"/>
      <c r="G9" s="183"/>
      <c r="H9" s="183"/>
      <c r="I9" s="183">
        <f t="shared" si="1"/>
        <v>0</v>
      </c>
      <c r="J9" s="182"/>
      <c r="K9" s="182"/>
      <c r="L9" s="182"/>
      <c r="M9" s="183">
        <f t="shared" si="2"/>
        <v>0</v>
      </c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</row>
    <row r="10" spans="1:33" outlineLevel="1" x14ac:dyDescent="0.25">
      <c r="A10" s="50" t="s">
        <v>21</v>
      </c>
      <c r="B10" s="193" t="s">
        <v>430</v>
      </c>
      <c r="C10" s="182"/>
      <c r="D10" s="182"/>
      <c r="E10" s="183">
        <f t="shared" si="0"/>
        <v>0</v>
      </c>
      <c r="F10" s="183"/>
      <c r="G10" s="183"/>
      <c r="H10" s="183">
        <v>317.75</v>
      </c>
      <c r="I10" s="183">
        <f t="shared" si="1"/>
        <v>317.75</v>
      </c>
      <c r="J10" s="182">
        <v>1913.4</v>
      </c>
      <c r="K10" s="182"/>
      <c r="L10" s="182">
        <v>1690.28</v>
      </c>
      <c r="M10" s="183">
        <f t="shared" si="2"/>
        <v>1690.28</v>
      </c>
      <c r="N10" s="182"/>
      <c r="O10" s="182"/>
      <c r="P10" s="182">
        <v>757.31</v>
      </c>
      <c r="Q10" s="182">
        <f>P10-O10</f>
        <v>757.31</v>
      </c>
      <c r="R10" s="182">
        <v>1050</v>
      </c>
      <c r="S10" s="182">
        <v>495.07</v>
      </c>
      <c r="T10" s="182">
        <v>123.43</v>
      </c>
      <c r="U10" s="182">
        <f>T10-S10</f>
        <v>-371.64</v>
      </c>
      <c r="V10" s="182">
        <v>494.27</v>
      </c>
      <c r="W10" s="182">
        <v>518.66999999999996</v>
      </c>
      <c r="X10" s="182">
        <v>2733.71</v>
      </c>
      <c r="Y10" s="182">
        <f>X10-W10</f>
        <v>2215.04</v>
      </c>
      <c r="Z10" s="182">
        <v>493.48</v>
      </c>
      <c r="AA10" s="182">
        <v>513.25</v>
      </c>
      <c r="AB10" s="182">
        <v>1771.9</v>
      </c>
      <c r="AC10" s="182">
        <f>AB10-AA10</f>
        <v>1258.6500000000001</v>
      </c>
      <c r="AD10" s="182">
        <v>492.69</v>
      </c>
      <c r="AE10" s="182">
        <v>510.46</v>
      </c>
      <c r="AF10" s="182">
        <v>2317.5</v>
      </c>
      <c r="AG10" s="182">
        <f>AF10-AE10</f>
        <v>1807.04</v>
      </c>
    </row>
    <row r="11" spans="1:33" outlineLevel="1" x14ac:dyDescent="0.25">
      <c r="A11" s="50"/>
      <c r="B11" s="193" t="s">
        <v>300</v>
      </c>
      <c r="C11" s="182"/>
      <c r="D11" s="182"/>
      <c r="E11" s="183">
        <f t="shared" si="0"/>
        <v>0</v>
      </c>
      <c r="F11" s="183"/>
      <c r="G11" s="183"/>
      <c r="H11" s="183">
        <v>223.53</v>
      </c>
      <c r="I11" s="183">
        <f t="shared" si="1"/>
        <v>223.53</v>
      </c>
      <c r="J11" s="182"/>
      <c r="K11" s="182"/>
      <c r="L11" s="182"/>
      <c r="M11" s="183">
        <f t="shared" si="2"/>
        <v>0</v>
      </c>
      <c r="N11" s="182"/>
      <c r="O11" s="182"/>
      <c r="P11" s="182">
        <v>140.97</v>
      </c>
      <c r="Q11" s="182"/>
      <c r="R11" s="182"/>
      <c r="S11" s="182"/>
      <c r="T11" s="182"/>
      <c r="U11" s="182">
        <f>T11-S11</f>
        <v>0</v>
      </c>
      <c r="V11" s="182"/>
      <c r="W11" s="182"/>
      <c r="X11" s="182"/>
      <c r="Y11" s="182">
        <f>X11-W11</f>
        <v>0</v>
      </c>
      <c r="Z11" s="182"/>
      <c r="AA11" s="182"/>
      <c r="AB11" s="182"/>
      <c r="AC11" s="182">
        <f>AB11-AA11</f>
        <v>0</v>
      </c>
      <c r="AD11" s="182"/>
      <c r="AE11" s="182"/>
      <c r="AF11" s="182"/>
      <c r="AG11" s="182">
        <f>AF11-AE11</f>
        <v>0</v>
      </c>
    </row>
    <row r="12" spans="1:33" outlineLevel="1" x14ac:dyDescent="0.25">
      <c r="A12" s="50" t="s">
        <v>169</v>
      </c>
      <c r="B12" s="193" t="s">
        <v>302</v>
      </c>
      <c r="C12" s="184"/>
      <c r="D12" s="184"/>
      <c r="E12" s="183">
        <f t="shared" si="0"/>
        <v>0</v>
      </c>
      <c r="F12" s="183"/>
      <c r="G12" s="183"/>
      <c r="H12" s="183"/>
      <c r="I12" s="183">
        <f t="shared" si="1"/>
        <v>0</v>
      </c>
      <c r="J12" s="182"/>
      <c r="K12" s="182"/>
      <c r="L12" s="182"/>
      <c r="M12" s="183">
        <f t="shared" si="2"/>
        <v>0</v>
      </c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</row>
    <row r="13" spans="1:33" outlineLevel="1" x14ac:dyDescent="0.25">
      <c r="A13" s="50" t="s">
        <v>234</v>
      </c>
      <c r="B13" s="193" t="s">
        <v>303</v>
      </c>
      <c r="C13" s="183">
        <v>95.640749849999992</v>
      </c>
      <c r="D13" s="183">
        <f>D15</f>
        <v>45.5</v>
      </c>
      <c r="E13" s="183">
        <f t="shared" si="0"/>
        <v>-50.140749849999992</v>
      </c>
      <c r="F13" s="183">
        <v>890</v>
      </c>
      <c r="G13" s="183">
        <v>136.43</v>
      </c>
      <c r="H13" s="183">
        <v>180.35</v>
      </c>
      <c r="I13" s="183">
        <f t="shared" si="1"/>
        <v>43.919999999999987</v>
      </c>
      <c r="J13" s="182">
        <v>205.5</v>
      </c>
      <c r="K13" s="182">
        <v>203.25</v>
      </c>
      <c r="L13" s="182">
        <f>L14+L15</f>
        <v>229.07999999999998</v>
      </c>
      <c r="M13" s="183">
        <f t="shared" si="2"/>
        <v>25.829999999999984</v>
      </c>
      <c r="N13" s="182">
        <v>283.10000000000002</v>
      </c>
      <c r="O13" s="182">
        <v>266.01</v>
      </c>
      <c r="P13" s="182">
        <v>227.33</v>
      </c>
      <c r="Q13" s="182">
        <f>P13-O13</f>
        <v>-38.679999999999978</v>
      </c>
      <c r="R13" s="182">
        <v>309.14</v>
      </c>
      <c r="S13" s="182">
        <f>S14+S15</f>
        <v>254.20000000000002</v>
      </c>
      <c r="T13" s="182">
        <v>242.24</v>
      </c>
      <c r="U13" s="182">
        <f>T13-S13</f>
        <v>-11.960000000000008</v>
      </c>
      <c r="V13" s="182">
        <f>V14+V15</f>
        <v>265.82</v>
      </c>
      <c r="W13" s="182">
        <f>W14+W15</f>
        <v>280.06</v>
      </c>
      <c r="X13" s="183">
        <f>X14+X15</f>
        <v>285.77</v>
      </c>
      <c r="Y13" s="182">
        <f>X13-W13</f>
        <v>5.7099999999999795</v>
      </c>
      <c r="Z13" s="183">
        <f t="shared" ref="Z13:AA13" si="3">Z14+Z15</f>
        <v>365.95</v>
      </c>
      <c r="AA13" s="183">
        <f t="shared" si="3"/>
        <v>273.64</v>
      </c>
      <c r="AB13" s="183">
        <v>289.99</v>
      </c>
      <c r="AC13" s="182">
        <f>AB13-AA13</f>
        <v>16.350000000000023</v>
      </c>
      <c r="AD13" s="183">
        <f>AD14+AD15</f>
        <v>323.78999999999996</v>
      </c>
      <c r="AE13" s="183">
        <f t="shared" ref="AE13:AG13" si="4">AE14+AE15</f>
        <v>296.47000000000003</v>
      </c>
      <c r="AF13" s="183">
        <f t="shared" si="4"/>
        <v>292.08</v>
      </c>
      <c r="AG13" s="183">
        <f t="shared" si="4"/>
        <v>-4.3900000000000077</v>
      </c>
    </row>
    <row r="14" spans="1:33" outlineLevel="1" x14ac:dyDescent="0.25">
      <c r="A14" s="50" t="s">
        <v>304</v>
      </c>
      <c r="B14" s="193" t="s">
        <v>305</v>
      </c>
      <c r="C14" s="183">
        <v>0</v>
      </c>
      <c r="D14" s="183">
        <v>0</v>
      </c>
      <c r="E14" s="183">
        <f t="shared" si="0"/>
        <v>0</v>
      </c>
      <c r="F14" s="183">
        <v>762</v>
      </c>
      <c r="G14" s="183">
        <v>0</v>
      </c>
      <c r="H14" s="183"/>
      <c r="I14" s="183">
        <f t="shared" si="1"/>
        <v>0</v>
      </c>
      <c r="J14" s="182"/>
      <c r="K14" s="182"/>
      <c r="L14" s="182">
        <v>37.01</v>
      </c>
      <c r="M14" s="183">
        <f t="shared" si="2"/>
        <v>37.01</v>
      </c>
      <c r="N14" s="182">
        <v>64.2</v>
      </c>
      <c r="O14" s="182">
        <v>64.2</v>
      </c>
      <c r="P14" s="182">
        <v>46.56</v>
      </c>
      <c r="Q14" s="182">
        <f>P14-O14</f>
        <v>-17.64</v>
      </c>
      <c r="R14" s="182">
        <v>64.2</v>
      </c>
      <c r="S14" s="182">
        <v>50.09</v>
      </c>
      <c r="T14" s="182">
        <v>44.7</v>
      </c>
      <c r="U14" s="182">
        <f>T14-S14</f>
        <v>-5.3900000000000006</v>
      </c>
      <c r="V14" s="182">
        <v>53.55</v>
      </c>
      <c r="W14" s="182">
        <v>51.22</v>
      </c>
      <c r="X14" s="182">
        <v>45.1</v>
      </c>
      <c r="Y14" s="182">
        <f>X14-W14</f>
        <v>-6.1199999999999974</v>
      </c>
      <c r="Z14" s="182">
        <v>55.69</v>
      </c>
      <c r="AA14" s="182">
        <v>48.2</v>
      </c>
      <c r="AB14" s="182">
        <v>46.57</v>
      </c>
      <c r="AC14" s="182">
        <f>AB14-AA14</f>
        <v>-1.6300000000000026</v>
      </c>
      <c r="AD14" s="182">
        <v>57.91</v>
      </c>
      <c r="AE14" s="182">
        <v>48.22</v>
      </c>
      <c r="AF14" s="182">
        <v>49.01</v>
      </c>
      <c r="AG14" s="182">
        <f>AF14-AE14</f>
        <v>0.78999999999999915</v>
      </c>
    </row>
    <row r="15" spans="1:33" outlineLevel="1" x14ac:dyDescent="0.25">
      <c r="A15" s="50" t="s">
        <v>306</v>
      </c>
      <c r="B15" s="193" t="s">
        <v>307</v>
      </c>
      <c r="C15" s="183">
        <v>95.640749849999992</v>
      </c>
      <c r="D15" s="183">
        <v>45.5</v>
      </c>
      <c r="E15" s="183">
        <f t="shared" si="0"/>
        <v>-50.140749849999992</v>
      </c>
      <c r="F15" s="183">
        <v>128</v>
      </c>
      <c r="G15" s="183">
        <v>136.43</v>
      </c>
      <c r="H15" s="183">
        <v>180.35</v>
      </c>
      <c r="I15" s="183">
        <f t="shared" si="1"/>
        <v>43.919999999999987</v>
      </c>
      <c r="J15" s="182">
        <v>205.5</v>
      </c>
      <c r="K15" s="182">
        <v>203.25</v>
      </c>
      <c r="L15" s="182">
        <v>192.07</v>
      </c>
      <c r="M15" s="183">
        <f t="shared" si="2"/>
        <v>-11.180000000000007</v>
      </c>
      <c r="N15" s="182">
        <v>218.9</v>
      </c>
      <c r="O15" s="182">
        <v>201.81</v>
      </c>
      <c r="P15" s="182">
        <v>180.76</v>
      </c>
      <c r="Q15" s="182">
        <f>P15-O15</f>
        <v>-21.050000000000011</v>
      </c>
      <c r="R15" s="182">
        <v>244.94</v>
      </c>
      <c r="S15" s="182">
        <v>204.11</v>
      </c>
      <c r="T15" s="182">
        <v>197.54</v>
      </c>
      <c r="U15" s="182">
        <f>T15-S15</f>
        <v>-6.5700000000000216</v>
      </c>
      <c r="V15" s="182">
        <v>212.27</v>
      </c>
      <c r="W15" s="182">
        <v>228.84</v>
      </c>
      <c r="X15" s="182">
        <v>240.67</v>
      </c>
      <c r="Y15" s="182">
        <f>X15-W15</f>
        <v>11.829999999999984</v>
      </c>
      <c r="Z15" s="182">
        <v>310.26</v>
      </c>
      <c r="AA15" s="182">
        <v>225.44</v>
      </c>
      <c r="AB15" s="182">
        <v>243.42</v>
      </c>
      <c r="AC15" s="182">
        <f>AB15-AA15</f>
        <v>17.97999999999999</v>
      </c>
      <c r="AD15" s="182">
        <v>265.88</v>
      </c>
      <c r="AE15" s="182">
        <v>248.25</v>
      </c>
      <c r="AF15" s="182">
        <v>243.07</v>
      </c>
      <c r="AG15" s="182">
        <f>AF15-AE15</f>
        <v>-5.1800000000000068</v>
      </c>
    </row>
    <row r="16" spans="1:33" outlineLevel="1" x14ac:dyDescent="0.25">
      <c r="A16" s="50" t="s">
        <v>236</v>
      </c>
      <c r="B16" s="193" t="s">
        <v>308</v>
      </c>
      <c r="C16" s="184">
        <v>14583.946915963425</v>
      </c>
      <c r="D16" s="184">
        <v>16983</v>
      </c>
      <c r="E16" s="183">
        <f t="shared" si="0"/>
        <v>2399.0530840365755</v>
      </c>
      <c r="F16" s="183">
        <v>82557</v>
      </c>
      <c r="G16" s="183">
        <v>28088.3</v>
      </c>
      <c r="H16" s="183">
        <v>27380.42</v>
      </c>
      <c r="I16" s="183">
        <f t="shared" si="1"/>
        <v>-707.88000000000102</v>
      </c>
      <c r="J16" s="182">
        <v>82157.05</v>
      </c>
      <c r="K16" s="182">
        <v>30261.72</v>
      </c>
      <c r="L16" s="182">
        <v>32665.73</v>
      </c>
      <c r="M16" s="183">
        <f t="shared" si="2"/>
        <v>2404.0099999999984</v>
      </c>
      <c r="N16" s="182">
        <v>32781.269999999997</v>
      </c>
      <c r="O16" s="182">
        <v>31367.18</v>
      </c>
      <c r="P16" s="182">
        <v>31067.59</v>
      </c>
      <c r="Q16" s="182">
        <f>P16-O16</f>
        <v>-299.59000000000015</v>
      </c>
      <c r="R16" s="182">
        <v>89586.92</v>
      </c>
      <c r="S16" s="182">
        <v>43324.76</v>
      </c>
      <c r="T16" s="182">
        <v>40980.519999999997</v>
      </c>
      <c r="U16" s="182">
        <f>T16-S16</f>
        <v>-2344.2400000000052</v>
      </c>
      <c r="V16" s="182">
        <v>66902.55</v>
      </c>
      <c r="W16" s="182">
        <v>45390.03</v>
      </c>
      <c r="X16" s="182">
        <v>46043.78</v>
      </c>
      <c r="Y16" s="182">
        <f>X16-W16</f>
        <v>653.75</v>
      </c>
      <c r="Z16" s="182">
        <v>69500.97</v>
      </c>
      <c r="AA16" s="182">
        <v>44916.42</v>
      </c>
      <c r="AB16" s="182">
        <v>54153.72</v>
      </c>
      <c r="AC16" s="182">
        <f>AB16-AA16</f>
        <v>9237.3000000000029</v>
      </c>
      <c r="AD16" s="182">
        <v>46713.08</v>
      </c>
      <c r="AE16" s="182">
        <v>44672.08</v>
      </c>
      <c r="AF16" s="182">
        <v>50917.760000000002</v>
      </c>
      <c r="AG16" s="183">
        <f>AF16-AE16</f>
        <v>6245.68</v>
      </c>
    </row>
    <row r="17" spans="1:33" outlineLevel="1" x14ac:dyDescent="0.25">
      <c r="A17" s="50"/>
      <c r="B17" s="193" t="s">
        <v>300</v>
      </c>
      <c r="C17" s="182"/>
      <c r="D17" s="182"/>
      <c r="E17" s="183">
        <f t="shared" si="0"/>
        <v>0</v>
      </c>
      <c r="F17" s="183"/>
      <c r="G17" s="183"/>
      <c r="H17" s="183"/>
      <c r="I17" s="183">
        <f t="shared" si="1"/>
        <v>0</v>
      </c>
      <c r="J17" s="182"/>
      <c r="K17" s="182"/>
      <c r="L17" s="182"/>
      <c r="M17" s="183">
        <f t="shared" si="2"/>
        <v>0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</row>
    <row r="18" spans="1:33" outlineLevel="1" x14ac:dyDescent="0.25">
      <c r="A18" s="50" t="s">
        <v>23</v>
      </c>
      <c r="B18" s="194" t="s">
        <v>309</v>
      </c>
      <c r="C18" s="183">
        <v>4433.5198624528812</v>
      </c>
      <c r="D18" s="183">
        <v>4902</v>
      </c>
      <c r="E18" s="183">
        <f t="shared" si="0"/>
        <v>468.48013754711883</v>
      </c>
      <c r="F18" s="183">
        <v>25097</v>
      </c>
      <c r="G18" s="183">
        <v>8538.84</v>
      </c>
      <c r="H18" s="183">
        <v>7794</v>
      </c>
      <c r="I18" s="183">
        <f t="shared" si="1"/>
        <v>-744.84000000000015</v>
      </c>
      <c r="J18" s="182">
        <v>24714.91</v>
      </c>
      <c r="K18" s="182">
        <v>9199.56</v>
      </c>
      <c r="L18" s="182">
        <v>9289.61</v>
      </c>
      <c r="M18" s="183">
        <f t="shared" si="2"/>
        <v>90.050000000001091</v>
      </c>
      <c r="N18" s="182">
        <v>9907.93</v>
      </c>
      <c r="O18" s="182">
        <v>9535.6200000000008</v>
      </c>
      <c r="P18" s="182">
        <v>9444.5499999999993</v>
      </c>
      <c r="Q18" s="182">
        <f>P18-O18</f>
        <v>-91.070000000001528</v>
      </c>
      <c r="R18" s="182">
        <v>27234.43</v>
      </c>
      <c r="S18" s="182">
        <v>13170.73</v>
      </c>
      <c r="T18" s="182">
        <v>11925.51</v>
      </c>
      <c r="U18" s="182">
        <f>T18-S18</f>
        <v>-1245.2199999999993</v>
      </c>
      <c r="V18" s="182">
        <v>20338.38</v>
      </c>
      <c r="W18" s="182">
        <v>13798.57</v>
      </c>
      <c r="X18" s="182">
        <v>13445.43</v>
      </c>
      <c r="Y18" s="182">
        <f>X18-W18</f>
        <v>-353.13999999999942</v>
      </c>
      <c r="Z18" s="182">
        <v>21128.29</v>
      </c>
      <c r="AA18" s="182">
        <v>13474.93</v>
      </c>
      <c r="AB18" s="182">
        <v>15554.69</v>
      </c>
      <c r="AC18" s="182">
        <f>AB18-AA18</f>
        <v>2079.7600000000002</v>
      </c>
      <c r="AD18" s="182">
        <v>13107.61</v>
      </c>
      <c r="AE18" s="182">
        <v>13401.62</v>
      </c>
      <c r="AF18" s="182">
        <v>14930.19</v>
      </c>
      <c r="AG18" s="182">
        <f>AF18-AE18</f>
        <v>1528.5699999999997</v>
      </c>
    </row>
    <row r="19" spans="1:33" outlineLevel="1" x14ac:dyDescent="0.25">
      <c r="A19" s="50"/>
      <c r="B19" s="193" t="s">
        <v>300</v>
      </c>
      <c r="C19" s="182"/>
      <c r="D19" s="182"/>
      <c r="E19" s="183">
        <f t="shared" si="0"/>
        <v>0</v>
      </c>
      <c r="F19" s="183"/>
      <c r="G19" s="183"/>
      <c r="H19" s="183"/>
      <c r="I19" s="183">
        <f t="shared" si="1"/>
        <v>0</v>
      </c>
      <c r="J19" s="182"/>
      <c r="K19" s="182"/>
      <c r="L19" s="182"/>
      <c r="M19" s="183">
        <f t="shared" si="2"/>
        <v>0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</row>
    <row r="20" spans="1:33" outlineLevel="1" x14ac:dyDescent="0.25">
      <c r="A20" s="50" t="s">
        <v>237</v>
      </c>
      <c r="B20" s="195" t="s">
        <v>310</v>
      </c>
      <c r="C20" s="183">
        <v>1227.89960811525</v>
      </c>
      <c r="D20" s="183">
        <v>2050</v>
      </c>
      <c r="E20" s="183">
        <f t="shared" si="0"/>
        <v>822.10039188475002</v>
      </c>
      <c r="F20" s="183">
        <v>10947.46</v>
      </c>
      <c r="G20" s="183">
        <v>10947.46</v>
      </c>
      <c r="H20" s="183">
        <v>4680</v>
      </c>
      <c r="I20" s="183">
        <f t="shared" si="1"/>
        <v>-6267.4599999999991</v>
      </c>
      <c r="J20" s="182">
        <v>14010.6</v>
      </c>
      <c r="K20" s="182">
        <v>10947.46</v>
      </c>
      <c r="L20" s="182">
        <v>5891.47</v>
      </c>
      <c r="M20" s="183">
        <f t="shared" si="2"/>
        <v>-5055.9899999999989</v>
      </c>
      <c r="N20" s="182">
        <v>10947.46</v>
      </c>
      <c r="O20" s="182">
        <v>10947.46</v>
      </c>
      <c r="P20" s="182">
        <v>787.46</v>
      </c>
      <c r="Q20" s="182">
        <f>P20-O20</f>
        <v>-10160</v>
      </c>
      <c r="R20" s="182">
        <v>5891.47</v>
      </c>
      <c r="S20" s="182">
        <v>5891.47</v>
      </c>
      <c r="T20" s="182">
        <v>5884.69</v>
      </c>
      <c r="U20" s="182">
        <f>T20-S20</f>
        <v>-6.7800000000006548</v>
      </c>
      <c r="V20" s="182">
        <v>5891.47</v>
      </c>
      <c r="W20" s="182">
        <v>5891.47</v>
      </c>
      <c r="X20" s="182">
        <v>5973</v>
      </c>
      <c r="Y20" s="182">
        <f>X20-W20</f>
        <v>81.529999999999745</v>
      </c>
      <c r="Z20" s="182">
        <v>5891.47</v>
      </c>
      <c r="AA20" s="182">
        <v>522.25</v>
      </c>
      <c r="AB20" s="182">
        <v>5108.74</v>
      </c>
      <c r="AC20" s="182">
        <f>AB20-AA20</f>
        <v>4586.49</v>
      </c>
      <c r="AD20" s="182">
        <v>5891.47</v>
      </c>
      <c r="AE20" s="182">
        <v>699.73</v>
      </c>
      <c r="AF20" s="182">
        <v>4835.82</v>
      </c>
      <c r="AG20" s="182">
        <f>AF20-AE20</f>
        <v>4136.09</v>
      </c>
    </row>
    <row r="21" spans="1:33" outlineLevel="1" x14ac:dyDescent="0.25">
      <c r="A21" s="50" t="s">
        <v>238</v>
      </c>
      <c r="B21" s="193" t="s">
        <v>311</v>
      </c>
      <c r="C21" s="183">
        <v>7121.6024185763981</v>
      </c>
      <c r="D21" s="183">
        <f>D22+D23+D25+D28+D32</f>
        <v>10344.08</v>
      </c>
      <c r="E21" s="183">
        <f t="shared" si="0"/>
        <v>3222.4775814236018</v>
      </c>
      <c r="F21" s="183">
        <v>20062</v>
      </c>
      <c r="G21" s="183">
        <v>10126.57</v>
      </c>
      <c r="H21" s="183">
        <v>13834.98</v>
      </c>
      <c r="I21" s="183">
        <f t="shared" si="1"/>
        <v>3708.41</v>
      </c>
      <c r="J21" s="182">
        <v>22011.11</v>
      </c>
      <c r="K21" s="182">
        <v>14787.16</v>
      </c>
      <c r="L21" s="182">
        <f>L23+L24+L25+L28+L32</f>
        <v>14845.660000000002</v>
      </c>
      <c r="M21" s="183">
        <f t="shared" si="2"/>
        <v>58.500000000001819</v>
      </c>
      <c r="N21" s="182">
        <v>20353.490000000002</v>
      </c>
      <c r="O21" s="182">
        <v>14822.81</v>
      </c>
      <c r="P21" s="182">
        <v>16084.07</v>
      </c>
      <c r="Q21" s="182">
        <f>P21-O21</f>
        <v>1261.2600000000002</v>
      </c>
      <c r="R21" s="182">
        <f>R23+R24+R25+R28+R32+R34</f>
        <v>17201.399999999998</v>
      </c>
      <c r="S21" s="182">
        <f>S23+S24+S25+S28+S32+S34</f>
        <v>15830.99</v>
      </c>
      <c r="T21" s="182">
        <f>T23+T24+T25+T28+T32+T34</f>
        <v>16720.490000000002</v>
      </c>
      <c r="U21" s="182">
        <f>T21-S21</f>
        <v>889.50000000000182</v>
      </c>
      <c r="V21" s="182">
        <f>V23+V24+V25+V28+V32+V34</f>
        <v>16959.32</v>
      </c>
      <c r="W21" s="182">
        <f>W23+W24+W25+W28+W32+W34</f>
        <v>17665.89</v>
      </c>
      <c r="X21" s="183">
        <f>X23+X24+X25+X28+X32+X34</f>
        <v>17602.32</v>
      </c>
      <c r="Y21" s="182">
        <f>X21-W21</f>
        <v>-63.569999999999709</v>
      </c>
      <c r="Z21" s="182">
        <f>Z23+Z24+Z25+Z28+Z32+Z34</f>
        <v>18527.59</v>
      </c>
      <c r="AA21" s="182">
        <f>AA23+AA24+AA25+AA28+AA32+AA34</f>
        <v>17761.43</v>
      </c>
      <c r="AB21" s="183">
        <f>AB23+AB24+AB25+AB28+AB32+AB34</f>
        <v>17541.159999999996</v>
      </c>
      <c r="AC21" s="182">
        <f>AB21-AA21</f>
        <v>-220.27000000000407</v>
      </c>
      <c r="AD21" s="182">
        <f>AD23+AD24+AD25+AD28+AD32+AD34</f>
        <v>16904.050000000003</v>
      </c>
      <c r="AE21" s="182">
        <f>AE23+AE24+AE25+AE28+AE32+AE34</f>
        <v>16638.61</v>
      </c>
      <c r="AF21" s="183">
        <f>AF23+AF24+AF25+AF28+AF32+AF34</f>
        <v>16619.22</v>
      </c>
      <c r="AG21" s="182">
        <f>AF21-AE21</f>
        <v>-19.389999999999418</v>
      </c>
    </row>
    <row r="22" spans="1:33" ht="26.4" outlineLevel="1" x14ac:dyDescent="0.25">
      <c r="A22" s="196" t="s">
        <v>312</v>
      </c>
      <c r="B22" s="197" t="s">
        <v>568</v>
      </c>
      <c r="C22" s="184">
        <v>550</v>
      </c>
      <c r="D22" s="184">
        <v>550</v>
      </c>
      <c r="E22" s="183">
        <f t="shared" si="0"/>
        <v>0</v>
      </c>
      <c r="F22" s="183">
        <v>0</v>
      </c>
      <c r="G22" s="183">
        <v>0</v>
      </c>
      <c r="H22" s="183">
        <v>355.9</v>
      </c>
      <c r="I22" s="183">
        <f t="shared" si="1"/>
        <v>355.9</v>
      </c>
      <c r="J22" s="182">
        <v>420</v>
      </c>
      <c r="K22" s="182"/>
      <c r="L22" s="182"/>
      <c r="M22" s="183">
        <f t="shared" si="2"/>
        <v>0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</row>
    <row r="23" spans="1:33" outlineLevel="1" x14ac:dyDescent="0.25">
      <c r="A23" s="50" t="s">
        <v>313</v>
      </c>
      <c r="B23" s="193" t="s">
        <v>551</v>
      </c>
      <c r="C23" s="183">
        <v>37.9</v>
      </c>
      <c r="D23" s="183">
        <v>43.8</v>
      </c>
      <c r="E23" s="183">
        <f t="shared" si="0"/>
        <v>5.8999999999999986</v>
      </c>
      <c r="F23" s="183">
        <v>40</v>
      </c>
      <c r="G23" s="183">
        <v>40</v>
      </c>
      <c r="H23" s="183">
        <v>51.6</v>
      </c>
      <c r="I23" s="183">
        <f t="shared" si="1"/>
        <v>11.600000000000001</v>
      </c>
      <c r="J23" s="182">
        <v>57.5</v>
      </c>
      <c r="K23" s="182"/>
      <c r="L23" s="182"/>
      <c r="M23" s="183">
        <f t="shared" si="2"/>
        <v>0</v>
      </c>
      <c r="N23" s="182">
        <v>58.1</v>
      </c>
      <c r="O23" s="182">
        <v>44.7</v>
      </c>
      <c r="P23" s="182">
        <v>54.8</v>
      </c>
      <c r="Q23" s="182">
        <f>P23-O23</f>
        <v>10.099999999999994</v>
      </c>
      <c r="R23" s="182">
        <v>56.39</v>
      </c>
      <c r="S23" s="182">
        <v>52.41</v>
      </c>
      <c r="T23" s="182">
        <v>59.37</v>
      </c>
      <c r="U23" s="182">
        <f>T23-S23</f>
        <v>6.9600000000000009</v>
      </c>
      <c r="V23" s="182">
        <v>52.33</v>
      </c>
      <c r="W23" s="182">
        <v>54.91</v>
      </c>
      <c r="X23" s="182">
        <v>57.44</v>
      </c>
      <c r="Y23" s="182">
        <f>X23-W23</f>
        <v>2.5300000000000011</v>
      </c>
      <c r="Z23" s="182">
        <v>52.24</v>
      </c>
      <c r="AA23" s="182">
        <v>54.33</v>
      </c>
      <c r="AB23" s="182">
        <v>62.79</v>
      </c>
      <c r="AC23" s="182">
        <f>AB23-AA23</f>
        <v>8.4600000000000009</v>
      </c>
      <c r="AD23" s="182">
        <v>52.16</v>
      </c>
      <c r="AE23" s="182">
        <v>54.04</v>
      </c>
      <c r="AF23" s="182">
        <v>47.8</v>
      </c>
      <c r="AG23" s="182">
        <f>AF23-AE23</f>
        <v>-6.240000000000002</v>
      </c>
    </row>
    <row r="24" spans="1:33" ht="16.2" customHeight="1" outlineLevel="1" x14ac:dyDescent="0.25">
      <c r="A24" s="50" t="s">
        <v>314</v>
      </c>
      <c r="B24" s="193" t="s">
        <v>315</v>
      </c>
      <c r="C24" s="185"/>
      <c r="D24" s="182">
        <v>0</v>
      </c>
      <c r="E24" s="183">
        <f t="shared" si="0"/>
        <v>0</v>
      </c>
      <c r="F24" s="183">
        <v>6</v>
      </c>
      <c r="G24" s="183">
        <v>0</v>
      </c>
      <c r="H24" s="183">
        <v>33.1</v>
      </c>
      <c r="I24" s="183">
        <f t="shared" si="1"/>
        <v>33.1</v>
      </c>
      <c r="J24" s="182">
        <v>33.1</v>
      </c>
      <c r="K24" s="182"/>
      <c r="L24" s="182"/>
      <c r="M24" s="183">
        <f t="shared" si="2"/>
        <v>0</v>
      </c>
      <c r="N24" s="182">
        <v>19.100000000000001</v>
      </c>
      <c r="O24" s="182">
        <v>19.100000000000001</v>
      </c>
      <c r="P24" s="182">
        <v>19.43</v>
      </c>
      <c r="Q24" s="182">
        <f>P24-O24</f>
        <v>0.32999999999999829</v>
      </c>
      <c r="R24" s="182">
        <v>20</v>
      </c>
      <c r="S24" s="182">
        <v>18.63</v>
      </c>
      <c r="T24" s="182">
        <v>9.3000000000000007</v>
      </c>
      <c r="U24" s="182">
        <f>T24-S24</f>
        <v>-9.3299999999999983</v>
      </c>
      <c r="V24" s="182">
        <v>19.38</v>
      </c>
      <c r="W24" s="182">
        <v>19.38</v>
      </c>
      <c r="X24" s="182">
        <v>5.95</v>
      </c>
      <c r="Y24" s="182">
        <f>X24-W24</f>
        <v>-13.43</v>
      </c>
      <c r="Z24" s="182">
        <v>20.149999999999999</v>
      </c>
      <c r="AA24" s="182">
        <v>9.2799999999999994</v>
      </c>
      <c r="AB24" s="182">
        <v>5.01</v>
      </c>
      <c r="AC24" s="182">
        <f>AB24-AA24</f>
        <v>-4.2699999999999996</v>
      </c>
      <c r="AD24" s="182">
        <v>20.96</v>
      </c>
      <c r="AE24" s="182">
        <v>6.36</v>
      </c>
      <c r="AF24" s="182">
        <v>6.6</v>
      </c>
      <c r="AG24" s="182">
        <f>AF24-AE24</f>
        <v>0.23999999999999932</v>
      </c>
    </row>
    <row r="25" spans="1:33" ht="103.05" customHeight="1" x14ac:dyDescent="0.25">
      <c r="A25" s="196" t="s">
        <v>552</v>
      </c>
      <c r="B25" s="193" t="s">
        <v>553</v>
      </c>
      <c r="C25" s="183">
        <v>5267.95</v>
      </c>
      <c r="D25" s="183">
        <v>5351.88</v>
      </c>
      <c r="E25" s="183">
        <f t="shared" si="0"/>
        <v>83.930000000000291</v>
      </c>
      <c r="F25" s="183">
        <v>9111</v>
      </c>
      <c r="G25" s="183">
        <v>5528.72</v>
      </c>
      <c r="H25" s="183">
        <v>9074.0499999999993</v>
      </c>
      <c r="I25" s="183">
        <f t="shared" si="1"/>
        <v>3545.329999999999</v>
      </c>
      <c r="J25" s="182">
        <v>13095.1</v>
      </c>
      <c r="K25" s="182">
        <v>9557.8700000000008</v>
      </c>
      <c r="L25" s="182">
        <v>9197.2800000000007</v>
      </c>
      <c r="M25" s="183">
        <f t="shared" si="2"/>
        <v>-360.59000000000015</v>
      </c>
      <c r="N25" s="182">
        <v>13144.83</v>
      </c>
      <c r="O25" s="182">
        <v>9531.93</v>
      </c>
      <c r="P25" s="182">
        <v>10583.75</v>
      </c>
      <c r="Q25" s="182">
        <f>P25-O25</f>
        <v>1051.8199999999997</v>
      </c>
      <c r="R25" s="182">
        <v>8765.6299999999992</v>
      </c>
      <c r="S25" s="182">
        <v>8878.5499999999993</v>
      </c>
      <c r="T25" s="182">
        <v>9943.2800000000007</v>
      </c>
      <c r="U25" s="182">
        <f>T25-S25</f>
        <v>1064.7300000000014</v>
      </c>
      <c r="V25" s="182">
        <v>10008.85</v>
      </c>
      <c r="W25" s="182">
        <v>10669.59</v>
      </c>
      <c r="X25" s="182">
        <v>10470.9</v>
      </c>
      <c r="Y25" s="182">
        <f>X25-W25</f>
        <v>-198.69000000000051</v>
      </c>
      <c r="Z25" s="182">
        <v>11222.2</v>
      </c>
      <c r="AA25" s="182">
        <v>10920.48</v>
      </c>
      <c r="AB25" s="182">
        <v>10882.4</v>
      </c>
      <c r="AC25" s="182">
        <f>AB25-AA25</f>
        <v>-38.079999999999927</v>
      </c>
      <c r="AD25" s="182">
        <v>9957.17</v>
      </c>
      <c r="AE25" s="182">
        <v>9923.17</v>
      </c>
      <c r="AF25" s="182">
        <v>10156.299999999999</v>
      </c>
      <c r="AG25" s="182">
        <f>AF25-AE25</f>
        <v>233.1299999999992</v>
      </c>
    </row>
    <row r="26" spans="1:33" ht="26.4" outlineLevel="1" x14ac:dyDescent="0.25">
      <c r="A26" s="50" t="s">
        <v>554</v>
      </c>
      <c r="B26" s="193" t="s">
        <v>555</v>
      </c>
      <c r="C26" s="185"/>
      <c r="D26" s="185"/>
      <c r="E26" s="183">
        <f t="shared" si="0"/>
        <v>0</v>
      </c>
      <c r="F26" s="183"/>
      <c r="G26" s="183"/>
      <c r="H26" s="183"/>
      <c r="I26" s="183">
        <f t="shared" si="1"/>
        <v>0</v>
      </c>
      <c r="J26" s="182"/>
      <c r="K26" s="182"/>
      <c r="L26" s="182"/>
      <c r="M26" s="183">
        <f t="shared" si="2"/>
        <v>0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</row>
    <row r="27" spans="1:33" outlineLevel="1" x14ac:dyDescent="0.25">
      <c r="A27" s="50" t="s">
        <v>556</v>
      </c>
      <c r="B27" s="193" t="s">
        <v>557</v>
      </c>
      <c r="C27" s="183"/>
      <c r="D27" s="183"/>
      <c r="E27" s="183">
        <f t="shared" si="0"/>
        <v>0</v>
      </c>
      <c r="F27" s="183"/>
      <c r="G27" s="183"/>
      <c r="H27" s="183"/>
      <c r="I27" s="183">
        <f t="shared" si="1"/>
        <v>0</v>
      </c>
      <c r="J27" s="182"/>
      <c r="K27" s="182"/>
      <c r="L27" s="182"/>
      <c r="M27" s="183">
        <f t="shared" si="2"/>
        <v>0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</row>
    <row r="28" spans="1:33" ht="26.4" outlineLevel="1" x14ac:dyDescent="0.25">
      <c r="A28" s="50" t="s">
        <v>316</v>
      </c>
      <c r="B28" s="193" t="s">
        <v>317</v>
      </c>
      <c r="C28" s="183">
        <v>314.2094675925</v>
      </c>
      <c r="D28" s="183">
        <v>821.9</v>
      </c>
      <c r="E28" s="183">
        <f t="shared" si="0"/>
        <v>507.69053240749997</v>
      </c>
      <c r="F28" s="183">
        <v>6354</v>
      </c>
      <c r="G28" s="183">
        <v>3034.88</v>
      </c>
      <c r="H28" s="183">
        <v>1926.26</v>
      </c>
      <c r="I28" s="183">
        <f t="shared" si="1"/>
        <v>-1108.6200000000001</v>
      </c>
      <c r="J28" s="182">
        <v>3676.2</v>
      </c>
      <c r="K28" s="182">
        <v>3526.28</v>
      </c>
      <c r="L28" s="182">
        <v>2914.3</v>
      </c>
      <c r="M28" s="183">
        <f t="shared" si="2"/>
        <v>-611.98</v>
      </c>
      <c r="N28" s="182">
        <v>3526.33</v>
      </c>
      <c r="O28" s="182">
        <v>3526.33</v>
      </c>
      <c r="P28" s="182">
        <v>2824.57</v>
      </c>
      <c r="Q28" s="182">
        <f>P28-O28</f>
        <v>-701.75999999999976</v>
      </c>
      <c r="R28" s="182">
        <f>R30+R31</f>
        <v>2914.33</v>
      </c>
      <c r="S28" s="182">
        <f>S30+S31</f>
        <v>2914.33</v>
      </c>
      <c r="T28" s="182">
        <v>2706.88</v>
      </c>
      <c r="U28" s="182">
        <f>T28-S28</f>
        <v>-207.44999999999982</v>
      </c>
      <c r="V28" s="182">
        <f>V30+V31</f>
        <v>2916.2000000000003</v>
      </c>
      <c r="W28" s="183">
        <f>W30+W31</f>
        <v>2820.8</v>
      </c>
      <c r="X28" s="183">
        <f>X30+X31</f>
        <v>2598.34</v>
      </c>
      <c r="Y28" s="182">
        <f>X28-W28</f>
        <v>-222.46000000000004</v>
      </c>
      <c r="Z28" s="182">
        <f>Z30+Z31</f>
        <v>2920.31</v>
      </c>
      <c r="AA28" s="183">
        <f>AA30+AA31</f>
        <v>2706.8799999999997</v>
      </c>
      <c r="AB28" s="183">
        <f>AB30+AB31</f>
        <v>2495.2099999999996</v>
      </c>
      <c r="AC28" s="182">
        <f>AB28-AA28</f>
        <v>-211.67000000000007</v>
      </c>
      <c r="AD28" s="182">
        <f>AD30+AD31</f>
        <v>2920.1800000000003</v>
      </c>
      <c r="AE28" s="183">
        <f>AE30+AE31</f>
        <v>2600.46</v>
      </c>
      <c r="AF28" s="183">
        <f>AF30+AF31</f>
        <v>2475.5099999999998</v>
      </c>
      <c r="AG28" s="182">
        <f>AF28-AE28</f>
        <v>-124.95000000000027</v>
      </c>
    </row>
    <row r="29" spans="1:33" outlineLevel="1" x14ac:dyDescent="0.25">
      <c r="A29" s="50" t="s">
        <v>318</v>
      </c>
      <c r="B29" s="193" t="s">
        <v>319</v>
      </c>
      <c r="C29" s="182"/>
      <c r="D29" s="182"/>
      <c r="E29" s="183">
        <f t="shared" si="0"/>
        <v>0</v>
      </c>
      <c r="F29" s="183"/>
      <c r="G29" s="183"/>
      <c r="H29" s="183"/>
      <c r="I29" s="183">
        <f t="shared" si="1"/>
        <v>0</v>
      </c>
      <c r="J29" s="182"/>
      <c r="K29" s="182"/>
      <c r="L29" s="182"/>
      <c r="M29" s="183">
        <f t="shared" si="2"/>
        <v>0</v>
      </c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</row>
    <row r="30" spans="1:33" outlineLevel="1" x14ac:dyDescent="0.25">
      <c r="A30" s="50" t="s">
        <v>320</v>
      </c>
      <c r="B30" s="193" t="s">
        <v>321</v>
      </c>
      <c r="C30" s="183">
        <v>27.910499999999999</v>
      </c>
      <c r="D30" s="183">
        <v>32</v>
      </c>
      <c r="E30" s="183">
        <f t="shared" si="0"/>
        <v>4.089500000000001</v>
      </c>
      <c r="F30" s="183">
        <v>42</v>
      </c>
      <c r="G30" s="183">
        <v>39.71</v>
      </c>
      <c r="H30" s="183">
        <v>44.93</v>
      </c>
      <c r="I30" s="183">
        <f t="shared" si="1"/>
        <v>5.2199999999999989</v>
      </c>
      <c r="J30" s="182">
        <v>45.54</v>
      </c>
      <c r="K30" s="182">
        <v>45.55</v>
      </c>
      <c r="L30" s="182">
        <v>46.9</v>
      </c>
      <c r="M30" s="183">
        <f t="shared" si="2"/>
        <v>1.3500000000000014</v>
      </c>
      <c r="N30" s="182">
        <v>45.6</v>
      </c>
      <c r="O30" s="182">
        <v>45.6</v>
      </c>
      <c r="P30" s="182">
        <v>52.57</v>
      </c>
      <c r="Q30" s="182">
        <f t="shared" ref="Q30:Q37" si="5">P30-O30</f>
        <v>6.9699999999999989</v>
      </c>
      <c r="R30" s="182">
        <v>46.93</v>
      </c>
      <c r="S30" s="182">
        <v>46.93</v>
      </c>
      <c r="T30" s="182">
        <v>52.91</v>
      </c>
      <c r="U30" s="182">
        <f t="shared" ref="U30:U35" si="6">T30-S30</f>
        <v>5.9799999999999969</v>
      </c>
      <c r="V30" s="182">
        <v>48.8</v>
      </c>
      <c r="W30" s="182">
        <v>48.8</v>
      </c>
      <c r="X30" s="182">
        <v>47.34</v>
      </c>
      <c r="Y30" s="182">
        <f t="shared" ref="Y30:Y35" si="7">X30-W30</f>
        <v>-1.4599999999999937</v>
      </c>
      <c r="Z30" s="182">
        <v>52.91</v>
      </c>
      <c r="AA30" s="182">
        <v>52.91</v>
      </c>
      <c r="AB30" s="182">
        <v>49.47</v>
      </c>
      <c r="AC30" s="182">
        <f t="shared" ref="AC30:AC35" si="8">AB30-AA30</f>
        <v>-3.4399999999999977</v>
      </c>
      <c r="AD30" s="182">
        <v>52.78</v>
      </c>
      <c r="AE30" s="182">
        <v>49.46</v>
      </c>
      <c r="AF30" s="182">
        <v>29.77</v>
      </c>
      <c r="AG30" s="182">
        <f t="shared" ref="AG30:AG35" si="9">AF30-AE30</f>
        <v>-19.690000000000001</v>
      </c>
    </row>
    <row r="31" spans="1:33" outlineLevel="1" x14ac:dyDescent="0.25">
      <c r="A31" s="50" t="s">
        <v>322</v>
      </c>
      <c r="B31" s="193" t="s">
        <v>323</v>
      </c>
      <c r="C31" s="183">
        <v>286.29896759249999</v>
      </c>
      <c r="D31" s="183">
        <v>789.9</v>
      </c>
      <c r="E31" s="183">
        <f t="shared" si="0"/>
        <v>503.60103240749999</v>
      </c>
      <c r="F31" s="183">
        <v>6312</v>
      </c>
      <c r="G31" s="183">
        <v>2995.17</v>
      </c>
      <c r="H31" s="183">
        <v>1881.33</v>
      </c>
      <c r="I31" s="183">
        <f t="shared" si="1"/>
        <v>-1113.8400000000001</v>
      </c>
      <c r="J31" s="182">
        <v>3630.66</v>
      </c>
      <c r="K31" s="182">
        <v>3480.73</v>
      </c>
      <c r="L31" s="182">
        <v>2867.4</v>
      </c>
      <c r="M31" s="183">
        <f t="shared" si="2"/>
        <v>-613.32999999999993</v>
      </c>
      <c r="N31" s="182">
        <v>3480.73</v>
      </c>
      <c r="O31" s="182">
        <v>3480.73</v>
      </c>
      <c r="P31" s="184">
        <v>2772</v>
      </c>
      <c r="Q31" s="182">
        <f t="shared" si="5"/>
        <v>-708.73</v>
      </c>
      <c r="R31" s="182">
        <v>2867.4</v>
      </c>
      <c r="S31" s="182">
        <v>2867.4</v>
      </c>
      <c r="T31" s="184">
        <v>2653.97</v>
      </c>
      <c r="U31" s="182">
        <f t="shared" si="6"/>
        <v>-213.43000000000029</v>
      </c>
      <c r="V31" s="182">
        <v>2867.4</v>
      </c>
      <c r="W31" s="184">
        <v>2772</v>
      </c>
      <c r="X31" s="184">
        <v>2551</v>
      </c>
      <c r="Y31" s="182">
        <f t="shared" si="7"/>
        <v>-221</v>
      </c>
      <c r="Z31" s="182">
        <v>2867.4</v>
      </c>
      <c r="AA31" s="183">
        <v>2653.97</v>
      </c>
      <c r="AB31" s="184">
        <v>2445.7399999999998</v>
      </c>
      <c r="AC31" s="182">
        <f t="shared" si="8"/>
        <v>-208.23000000000002</v>
      </c>
      <c r="AD31" s="182">
        <v>2867.4</v>
      </c>
      <c r="AE31" s="183">
        <v>2551</v>
      </c>
      <c r="AF31" s="184">
        <v>2445.7399999999998</v>
      </c>
      <c r="AG31" s="182">
        <f t="shared" si="9"/>
        <v>-105.26000000000022</v>
      </c>
    </row>
    <row r="32" spans="1:33" ht="26.4" outlineLevel="1" x14ac:dyDescent="0.25">
      <c r="A32" s="50" t="s">
        <v>324</v>
      </c>
      <c r="B32" s="193" t="s">
        <v>558</v>
      </c>
      <c r="C32" s="184">
        <v>951.54295098389855</v>
      </c>
      <c r="D32" s="183">
        <v>3576.5</v>
      </c>
      <c r="E32" s="183">
        <f t="shared" si="0"/>
        <v>2624.9570490161013</v>
      </c>
      <c r="F32" s="183">
        <v>4551</v>
      </c>
      <c r="G32" s="183">
        <v>1522.97</v>
      </c>
      <c r="H32" s="183">
        <v>2394.04</v>
      </c>
      <c r="I32" s="183">
        <f t="shared" si="1"/>
        <v>871.06999999999994</v>
      </c>
      <c r="J32" s="182">
        <v>4742.28</v>
      </c>
      <c r="K32" s="182">
        <v>1703.01</v>
      </c>
      <c r="L32" s="182">
        <v>2734.08</v>
      </c>
      <c r="M32" s="183">
        <f t="shared" si="2"/>
        <v>1031.07</v>
      </c>
      <c r="N32" s="182">
        <v>3605.18</v>
      </c>
      <c r="O32" s="182">
        <v>1700.76</v>
      </c>
      <c r="P32" s="182">
        <v>2601.5700000000002</v>
      </c>
      <c r="Q32" s="182">
        <f t="shared" si="5"/>
        <v>900.81000000000017</v>
      </c>
      <c r="R32" s="182">
        <v>5445.05</v>
      </c>
      <c r="S32" s="182">
        <f>2866.46-52.41+1153.02</f>
        <v>3967.07</v>
      </c>
      <c r="T32" s="182">
        <v>4001.66</v>
      </c>
      <c r="U32" s="182">
        <f t="shared" si="6"/>
        <v>34.589999999999691</v>
      </c>
      <c r="V32" s="182">
        <f>6140.92-3279.05-52.33+1153.02</f>
        <v>3962.56</v>
      </c>
      <c r="W32" s="182">
        <f>6443.97-3440.87-54.91+1153.02</f>
        <v>4101.2100000000009</v>
      </c>
      <c r="X32" s="182">
        <v>4469.6899999999996</v>
      </c>
      <c r="Y32" s="182">
        <f t="shared" si="7"/>
        <v>368.47999999999865</v>
      </c>
      <c r="Z32" s="182">
        <f>6330.1-3273.8-52.24+1153.02+155.61</f>
        <v>4312.6899999999996</v>
      </c>
      <c r="AA32" s="182">
        <f>6376.73-3404.96-54.33+1153.02</f>
        <v>4070.4599999999996</v>
      </c>
      <c r="AB32" s="182">
        <v>4095.75</v>
      </c>
      <c r="AC32" s="182">
        <f t="shared" si="8"/>
        <v>25.290000000000418</v>
      </c>
      <c r="AD32" s="182">
        <f>6121.29-AD7-AD23+AD33</f>
        <v>3953.58</v>
      </c>
      <c r="AE32" s="182">
        <f>6342.04-AE7-AE23+AE33</f>
        <v>4054.58</v>
      </c>
      <c r="AF32" s="182">
        <v>3933.01</v>
      </c>
      <c r="AG32" s="182">
        <f t="shared" si="9"/>
        <v>-121.56999999999971</v>
      </c>
    </row>
    <row r="33" spans="1:35" outlineLevel="1" x14ac:dyDescent="0.25">
      <c r="A33" s="50" t="s">
        <v>559</v>
      </c>
      <c r="B33" s="193" t="s">
        <v>790</v>
      </c>
      <c r="C33" s="182"/>
      <c r="D33" s="182"/>
      <c r="E33" s="183">
        <f t="shared" si="0"/>
        <v>0</v>
      </c>
      <c r="F33" s="183"/>
      <c r="G33" s="183"/>
      <c r="H33" s="183"/>
      <c r="I33" s="183">
        <f t="shared" si="1"/>
        <v>0</v>
      </c>
      <c r="J33" s="182"/>
      <c r="K33" s="182"/>
      <c r="L33" s="182"/>
      <c r="M33" s="183">
        <f t="shared" si="2"/>
        <v>0</v>
      </c>
      <c r="N33" s="182"/>
      <c r="O33" s="182"/>
      <c r="P33" s="182"/>
      <c r="Q33" s="182">
        <f t="shared" si="5"/>
        <v>0</v>
      </c>
      <c r="R33" s="182"/>
      <c r="S33" s="182">
        <v>1153.02</v>
      </c>
      <c r="T33" s="182">
        <v>1153.02</v>
      </c>
      <c r="U33" s="182">
        <f t="shared" si="6"/>
        <v>0</v>
      </c>
      <c r="V33" s="182">
        <v>1153.02</v>
      </c>
      <c r="W33" s="182">
        <v>1153.02</v>
      </c>
      <c r="X33" s="182">
        <v>1153.02</v>
      </c>
      <c r="Y33" s="182">
        <f t="shared" si="7"/>
        <v>0</v>
      </c>
      <c r="Z33" s="182">
        <v>1153.02</v>
      </c>
      <c r="AA33" s="182">
        <v>1153.02</v>
      </c>
      <c r="AB33" s="182">
        <v>1153.02</v>
      </c>
      <c r="AC33" s="182">
        <f t="shared" si="8"/>
        <v>0</v>
      </c>
      <c r="AD33" s="182">
        <v>1153.02</v>
      </c>
      <c r="AE33" s="182">
        <v>1153.02</v>
      </c>
      <c r="AF33" s="182">
        <v>1153.02</v>
      </c>
      <c r="AG33" s="182">
        <f t="shared" si="9"/>
        <v>0</v>
      </c>
    </row>
    <row r="34" spans="1:35" ht="18.600000000000001" customHeight="1" outlineLevel="1" x14ac:dyDescent="0.25">
      <c r="A34" s="52" t="s">
        <v>703</v>
      </c>
      <c r="B34" s="193" t="s">
        <v>791</v>
      </c>
      <c r="C34" s="182"/>
      <c r="D34" s="182"/>
      <c r="E34" s="183">
        <f t="shared" si="0"/>
        <v>0</v>
      </c>
      <c r="F34" s="183"/>
      <c r="G34" s="183"/>
      <c r="H34" s="183"/>
      <c r="I34" s="183">
        <f t="shared" si="1"/>
        <v>0</v>
      </c>
      <c r="J34" s="182"/>
      <c r="K34" s="182"/>
      <c r="L34" s="182"/>
      <c r="M34" s="183">
        <f t="shared" si="2"/>
        <v>0</v>
      </c>
      <c r="N34" s="182"/>
      <c r="O34" s="182"/>
      <c r="P34" s="182"/>
      <c r="Q34" s="182">
        <f t="shared" si="5"/>
        <v>0</v>
      </c>
      <c r="R34" s="182"/>
      <c r="S34" s="182"/>
      <c r="T34" s="182"/>
      <c r="U34" s="182">
        <f t="shared" si="6"/>
        <v>0</v>
      </c>
      <c r="V34" s="182"/>
      <c r="W34" s="182"/>
      <c r="X34" s="182"/>
      <c r="Y34" s="182">
        <f t="shared" si="7"/>
        <v>0</v>
      </c>
      <c r="Z34" s="182"/>
      <c r="AA34" s="182"/>
      <c r="AB34" s="182"/>
      <c r="AC34" s="182">
        <f t="shared" si="8"/>
        <v>0</v>
      </c>
      <c r="AD34" s="182"/>
      <c r="AE34" s="182"/>
      <c r="AF34" s="182"/>
      <c r="AG34" s="182">
        <f t="shared" si="9"/>
        <v>0</v>
      </c>
    </row>
    <row r="35" spans="1:35" outlineLevel="1" x14ac:dyDescent="0.25">
      <c r="A35" s="50" t="s">
        <v>239</v>
      </c>
      <c r="B35" s="198" t="s">
        <v>327</v>
      </c>
      <c r="C35" s="186">
        <v>30749.128992977749</v>
      </c>
      <c r="D35" s="186">
        <v>38164.400000000001</v>
      </c>
      <c r="E35" s="187">
        <f t="shared" si="0"/>
        <v>7415.2710070222529</v>
      </c>
      <c r="F35" s="187">
        <v>145940</v>
      </c>
      <c r="G35" s="187">
        <v>62049.24</v>
      </c>
      <c r="H35" s="187">
        <v>58510.5</v>
      </c>
      <c r="I35" s="187">
        <f t="shared" si="1"/>
        <v>-3538.739999999998</v>
      </c>
      <c r="J35" s="188">
        <v>154523.14000000001</v>
      </c>
      <c r="K35" s="188">
        <v>69936.67</v>
      </c>
      <c r="L35" s="188">
        <f>L7+L8+L10+L13+L16+L18+L20+L21</f>
        <v>70149.55</v>
      </c>
      <c r="M35" s="187">
        <f t="shared" si="2"/>
        <v>212.88000000000466</v>
      </c>
      <c r="N35" s="188">
        <v>81792.08</v>
      </c>
      <c r="O35" s="188">
        <v>71642.350000000006</v>
      </c>
      <c r="P35" s="188">
        <f>P7+P8+P10+P13+P16+P18+P20+P21</f>
        <v>62428.819999999992</v>
      </c>
      <c r="Q35" s="188">
        <f t="shared" si="5"/>
        <v>-9213.5300000000134</v>
      </c>
      <c r="R35" s="187">
        <f>R7+R8+R10+R13+R16+R18+R20+R21</f>
        <v>152485.32999999999</v>
      </c>
      <c r="S35" s="188">
        <f>S7+S8+S10+S13+S16+S18+S20+S21</f>
        <v>86158.720000000001</v>
      </c>
      <c r="T35" s="188">
        <f>T7+T8+T10+T13+T16+T18+T20+T21</f>
        <v>80544.260000000009</v>
      </c>
      <c r="U35" s="188">
        <f t="shared" si="6"/>
        <v>-5614.4599999999919</v>
      </c>
      <c r="V35" s="187">
        <f>V7+V8+V10+V13+V16+V18+V20+V21</f>
        <v>118031.80000000002</v>
      </c>
      <c r="W35" s="188">
        <f>W7+W8+W10+W13+W16+W18+W20+W21</f>
        <v>91079.01</v>
      </c>
      <c r="X35" s="187">
        <f>X7+X8+X10+X13+X16+X18+X20+X21</f>
        <v>93870.25</v>
      </c>
      <c r="Y35" s="188">
        <f t="shared" si="7"/>
        <v>2791.2400000000052</v>
      </c>
      <c r="Z35" s="187">
        <f>Z7+Z8+Z10+Z13+Z16+Z18+Z20+Z21</f>
        <v>123076.25</v>
      </c>
      <c r="AA35" s="188">
        <f>AA7+AA8+AA10+AA13+AA16+AA18+AA20+AA21</f>
        <v>84917.62</v>
      </c>
      <c r="AB35" s="187">
        <f>AB7+AB8+AB10+AB13+AB16+AB18+AB20+AB21</f>
        <v>108746.51000000001</v>
      </c>
      <c r="AC35" s="188">
        <f t="shared" si="8"/>
        <v>23828.890000000014</v>
      </c>
      <c r="AD35" s="187">
        <f>AD7+AD8+AD10+AD13+AD16+AD18+AD20+AD21</f>
        <v>90589.73</v>
      </c>
      <c r="AE35" s="188">
        <f>AE7+AE8+AE10+AE13+AE16+AE18+AE20+AE21</f>
        <v>83634.11</v>
      </c>
      <c r="AF35" s="187">
        <f>AF7+AF8+AF10+AF13+AF16+AF18+AF20+AF21</f>
        <v>102779.5</v>
      </c>
      <c r="AG35" s="188">
        <f t="shared" si="9"/>
        <v>19145.39</v>
      </c>
    </row>
    <row r="36" spans="1:35" ht="14.4" outlineLevel="1" x14ac:dyDescent="0.3">
      <c r="A36" s="50" t="s">
        <v>240</v>
      </c>
      <c r="B36" s="193" t="s">
        <v>328</v>
      </c>
      <c r="C36" s="182"/>
      <c r="D36" s="182"/>
      <c r="E36" s="183">
        <f t="shared" si="0"/>
        <v>0</v>
      </c>
      <c r="F36" s="183">
        <v>696.75</v>
      </c>
      <c r="G36" s="183">
        <v>2452.17</v>
      </c>
      <c r="H36" s="183"/>
      <c r="I36" s="183">
        <f t="shared" si="1"/>
        <v>-2452.17</v>
      </c>
      <c r="J36" s="182"/>
      <c r="K36" s="182">
        <v>1849.82</v>
      </c>
      <c r="L36" s="182"/>
      <c r="M36" s="183">
        <f t="shared" si="2"/>
        <v>-1849.82</v>
      </c>
      <c r="N36" s="182"/>
      <c r="O36" s="182"/>
      <c r="P36" s="182"/>
      <c r="Q36" s="182">
        <f t="shared" si="5"/>
        <v>0</v>
      </c>
      <c r="R36" s="182"/>
      <c r="S36" s="182">
        <v>10676.78</v>
      </c>
      <c r="T36" s="182"/>
      <c r="U36" s="182"/>
      <c r="V36" s="182">
        <v>10655.97</v>
      </c>
      <c r="W36" s="182">
        <v>-6347.52</v>
      </c>
      <c r="X36" s="182"/>
      <c r="Y36" s="182"/>
      <c r="Z36" s="182"/>
      <c r="AA36" s="182">
        <v>5847.4</v>
      </c>
      <c r="AB36" s="182"/>
      <c r="AC36" s="182"/>
      <c r="AD36" s="182"/>
      <c r="AE36" s="182">
        <v>725.24</v>
      </c>
      <c r="AF36" s="47">
        <f>1568.167+1038.82</f>
        <v>2606.9870000000001</v>
      </c>
      <c r="AG36" s="182"/>
      <c r="AH36" s="11">
        <v>1568.1669999999999</v>
      </c>
      <c r="AI36" s="11">
        <v>1038.82</v>
      </c>
    </row>
    <row r="37" spans="1:35" ht="24" customHeight="1" outlineLevel="1" x14ac:dyDescent="0.25">
      <c r="A37" s="50" t="s">
        <v>329</v>
      </c>
      <c r="B37" s="193" t="s">
        <v>330</v>
      </c>
      <c r="C37" s="182"/>
      <c r="D37" s="182"/>
      <c r="E37" s="183">
        <f t="shared" si="0"/>
        <v>0</v>
      </c>
      <c r="F37" s="183"/>
      <c r="G37" s="183"/>
      <c r="H37" s="183"/>
      <c r="I37" s="183">
        <f t="shared" si="1"/>
        <v>0</v>
      </c>
      <c r="J37" s="182"/>
      <c r="K37" s="182"/>
      <c r="L37" s="182"/>
      <c r="M37" s="183">
        <f t="shared" si="2"/>
        <v>0</v>
      </c>
      <c r="N37" s="182"/>
      <c r="O37" s="182">
        <v>-6378.51</v>
      </c>
      <c r="P37" s="182"/>
      <c r="Q37" s="182">
        <f t="shared" si="5"/>
        <v>6378.51</v>
      </c>
      <c r="R37" s="182"/>
      <c r="S37" s="182">
        <v>-22798.57</v>
      </c>
      <c r="T37" s="182"/>
      <c r="U37" s="182"/>
      <c r="V37" s="182"/>
      <c r="W37" s="182"/>
      <c r="X37" s="182"/>
      <c r="Y37" s="182"/>
      <c r="Z37" s="182"/>
      <c r="AA37" s="182">
        <v>298.66000000000003</v>
      </c>
      <c r="AB37" s="182"/>
      <c r="AC37" s="182"/>
      <c r="AD37" s="182"/>
      <c r="AE37" s="182"/>
      <c r="AF37" s="182"/>
      <c r="AG37" s="182"/>
    </row>
    <row r="38" spans="1:35" outlineLevel="1" x14ac:dyDescent="0.25">
      <c r="A38" s="51" t="s">
        <v>331</v>
      </c>
      <c r="B38" s="193" t="s">
        <v>332</v>
      </c>
      <c r="C38" s="186">
        <v>30749.128992977749</v>
      </c>
      <c r="D38" s="186">
        <v>38164.400000000001</v>
      </c>
      <c r="E38" s="187">
        <f t="shared" si="0"/>
        <v>7415.2710070222529</v>
      </c>
      <c r="F38" s="187">
        <v>146636.79999999999</v>
      </c>
      <c r="G38" s="187">
        <v>64501.41</v>
      </c>
      <c r="H38" s="187">
        <v>58510.5</v>
      </c>
      <c r="I38" s="187">
        <f t="shared" si="1"/>
        <v>-5990.9100000000035</v>
      </c>
      <c r="J38" s="188">
        <v>154523.14000000001</v>
      </c>
      <c r="K38" s="188">
        <v>71786.490000000005</v>
      </c>
      <c r="L38" s="188">
        <f>L35+L36</f>
        <v>70149.55</v>
      </c>
      <c r="M38" s="187">
        <f t="shared" si="2"/>
        <v>-1636.9400000000023</v>
      </c>
      <c r="N38" s="188">
        <v>81792.08</v>
      </c>
      <c r="O38" s="188">
        <v>65263.85</v>
      </c>
      <c r="P38" s="188">
        <f>P35+P36</f>
        <v>62428.819999999992</v>
      </c>
      <c r="Q38" s="188">
        <f>P38-O38</f>
        <v>-2835.0300000000061</v>
      </c>
      <c r="R38" s="187">
        <f>R35+R37</f>
        <v>152485.32999999999</v>
      </c>
      <c r="S38" s="188">
        <f>S35+S37+S36</f>
        <v>74036.930000000008</v>
      </c>
      <c r="T38" s="188">
        <f>T35+T36</f>
        <v>80544.260000000009</v>
      </c>
      <c r="U38" s="188">
        <f>T38-S38</f>
        <v>6507.3300000000017</v>
      </c>
      <c r="V38" s="187">
        <f>V35+V37+V36</f>
        <v>128687.77000000002</v>
      </c>
      <c r="W38" s="188">
        <f>W35+W37+W36</f>
        <v>84731.489999999991</v>
      </c>
      <c r="X38" s="188">
        <f>X35+X36</f>
        <v>93870.25</v>
      </c>
      <c r="Y38" s="188">
        <f>X38-W38</f>
        <v>9138.7600000000093</v>
      </c>
      <c r="Z38" s="187">
        <f>Z35+Z37+Z36</f>
        <v>123076.25</v>
      </c>
      <c r="AA38" s="188">
        <f>AA35+AA37+AA36</f>
        <v>91063.679999999993</v>
      </c>
      <c r="AB38" s="188">
        <f>AB35+AB36</f>
        <v>108746.51000000001</v>
      </c>
      <c r="AC38" s="188">
        <f>AB38-AA38</f>
        <v>17682.830000000016</v>
      </c>
      <c r="AD38" s="187">
        <f>AD35+AD37+AD36</f>
        <v>90589.73</v>
      </c>
      <c r="AE38" s="188">
        <f>AE35+AE37+AE36</f>
        <v>84359.35</v>
      </c>
      <c r="AF38" s="188">
        <f>AF35+AF36</f>
        <v>105386.48699999999</v>
      </c>
      <c r="AG38" s="188">
        <f>AF38-AE38</f>
        <v>21027.136999999988</v>
      </c>
    </row>
    <row r="39" spans="1:35" outlineLevel="1" x14ac:dyDescent="0.25">
      <c r="A39" s="50"/>
      <c r="B39" s="193" t="s">
        <v>333</v>
      </c>
      <c r="C39" s="182"/>
      <c r="D39" s="182"/>
      <c r="E39" s="183">
        <f t="shared" si="0"/>
        <v>0</v>
      </c>
      <c r="F39" s="183"/>
      <c r="G39" s="183"/>
      <c r="H39" s="183"/>
      <c r="I39" s="183">
        <f t="shared" si="1"/>
        <v>0</v>
      </c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</row>
    <row r="40" spans="1:35" outlineLevel="1" x14ac:dyDescent="0.25">
      <c r="A40" s="52" t="s">
        <v>334</v>
      </c>
      <c r="B40" s="193" t="s">
        <v>335</v>
      </c>
      <c r="C40" s="182"/>
      <c r="D40" s="182"/>
      <c r="E40" s="183">
        <f t="shared" si="0"/>
        <v>0</v>
      </c>
      <c r="F40" s="183"/>
      <c r="G40" s="183"/>
      <c r="H40" s="183"/>
      <c r="I40" s="183">
        <f t="shared" si="1"/>
        <v>0</v>
      </c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</row>
    <row r="41" spans="1:35" outlineLevel="1" x14ac:dyDescent="0.25">
      <c r="A41" s="50" t="s">
        <v>342</v>
      </c>
      <c r="B41" s="193" t="s">
        <v>343</v>
      </c>
      <c r="C41" s="182"/>
      <c r="D41" s="182"/>
      <c r="E41" s="183">
        <f t="shared" si="0"/>
        <v>0</v>
      </c>
      <c r="F41" s="183"/>
      <c r="G41" s="183"/>
      <c r="H41" s="183"/>
      <c r="I41" s="183">
        <f t="shared" si="1"/>
        <v>0</v>
      </c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</row>
    <row r="42" spans="1:35" outlineLevel="1" x14ac:dyDescent="0.25">
      <c r="A42" s="50" t="s">
        <v>350</v>
      </c>
      <c r="B42" s="193" t="s">
        <v>351</v>
      </c>
      <c r="C42" s="182"/>
      <c r="D42" s="182"/>
      <c r="E42" s="183">
        <f t="shared" si="0"/>
        <v>0</v>
      </c>
      <c r="F42" s="183"/>
      <c r="G42" s="183"/>
      <c r="H42" s="183"/>
      <c r="I42" s="183">
        <f t="shared" si="1"/>
        <v>0</v>
      </c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</row>
    <row r="43" spans="1:35" outlineLevel="1" x14ac:dyDescent="0.25">
      <c r="A43" s="387" t="s">
        <v>792</v>
      </c>
      <c r="B43" s="193" t="s">
        <v>670</v>
      </c>
      <c r="C43" s="182"/>
      <c r="D43" s="182"/>
      <c r="E43" s="183"/>
      <c r="F43" s="183"/>
      <c r="G43" s="183"/>
      <c r="H43" s="183"/>
      <c r="I43" s="183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>
        <v>81258.77</v>
      </c>
      <c r="W43" s="182"/>
      <c r="X43" s="182">
        <v>11486.51</v>
      </c>
      <c r="Y43" s="188">
        <f>X43-W43</f>
        <v>11486.51</v>
      </c>
      <c r="Z43" s="182">
        <v>28764.36</v>
      </c>
      <c r="AA43" s="182"/>
      <c r="AB43" s="182"/>
      <c r="AC43" s="188">
        <f>AB43-AA43</f>
        <v>0</v>
      </c>
      <c r="AD43" s="182">
        <v>11486.51</v>
      </c>
      <c r="AE43" s="182"/>
      <c r="AF43" s="182"/>
      <c r="AG43" s="188">
        <f>AF43-AE43</f>
        <v>0</v>
      </c>
    </row>
    <row r="44" spans="1:35" outlineLevel="1" x14ac:dyDescent="0.25">
      <c r="A44" s="388" t="s">
        <v>793</v>
      </c>
      <c r="B44" s="199" t="s">
        <v>352</v>
      </c>
      <c r="C44" s="186">
        <v>187.37187392541315</v>
      </c>
      <c r="D44" s="186">
        <v>35</v>
      </c>
      <c r="E44" s="187">
        <f t="shared" si="0"/>
        <v>-152.37187392541315</v>
      </c>
      <c r="F44" s="187">
        <v>14240</v>
      </c>
      <c r="G44" s="187">
        <v>231.15</v>
      </c>
      <c r="H44" s="187">
        <v>119.6</v>
      </c>
      <c r="I44" s="187">
        <f t="shared" si="1"/>
        <v>-111.55000000000001</v>
      </c>
      <c r="J44" s="188">
        <v>28522</v>
      </c>
      <c r="K44" s="188">
        <v>7760.04</v>
      </c>
      <c r="L44" s="188">
        <v>770.29</v>
      </c>
      <c r="M44" s="187">
        <f>L44-K44</f>
        <v>-6989.75</v>
      </c>
      <c r="N44" s="188">
        <v>8274.01</v>
      </c>
      <c r="O44" s="188">
        <v>8587.8799999999992</v>
      </c>
      <c r="P44" s="188">
        <v>343.67</v>
      </c>
      <c r="Q44" s="188">
        <f>P44-O44</f>
        <v>-8244.2099999999991</v>
      </c>
      <c r="R44" s="188">
        <v>13160.61</v>
      </c>
      <c r="S44" s="188">
        <v>628.74</v>
      </c>
      <c r="T44" s="188">
        <v>323.64</v>
      </c>
      <c r="U44" s="188">
        <f>T44-S44</f>
        <v>-305.10000000000002</v>
      </c>
      <c r="V44" s="188">
        <f>424.96+96.53+106.24</f>
        <v>627.73</v>
      </c>
      <c r="W44" s="188">
        <f>101.3+445.93+111.48</f>
        <v>658.71</v>
      </c>
      <c r="X44" s="188">
        <v>558.32000000000005</v>
      </c>
      <c r="Y44" s="188">
        <f>X44-W44</f>
        <v>-100.38999999999999</v>
      </c>
      <c r="Z44" s="187">
        <f>424.28+96.38+106.24</f>
        <v>626.9</v>
      </c>
      <c r="AA44" s="188">
        <f>100.24+441.28+110.32</f>
        <v>651.83999999999992</v>
      </c>
      <c r="AB44" s="188">
        <v>783.95</v>
      </c>
      <c r="AC44" s="188">
        <f>AB44-AA44</f>
        <v>132.11000000000013</v>
      </c>
      <c r="AD44" s="187">
        <f>423.6+96.22+105.9</f>
        <v>625.72</v>
      </c>
      <c r="AE44" s="188">
        <f>109.72+99.69+438.88</f>
        <v>648.29</v>
      </c>
      <c r="AF44" s="188">
        <f>211.7+1456.74</f>
        <v>1668.44</v>
      </c>
      <c r="AG44" s="188">
        <f>AF44-AE44</f>
        <v>1020.1500000000001</v>
      </c>
    </row>
    <row r="45" spans="1:35" outlineLevel="1" x14ac:dyDescent="0.25">
      <c r="A45" s="389">
        <v>15</v>
      </c>
      <c r="B45" s="198" t="s">
        <v>794</v>
      </c>
      <c r="C45" s="186">
        <v>30936.500866903163</v>
      </c>
      <c r="D45" s="186">
        <f>D38+D44</f>
        <v>38199.4</v>
      </c>
      <c r="E45" s="187">
        <f t="shared" si="0"/>
        <v>7262.8991330968383</v>
      </c>
      <c r="F45" s="187">
        <v>160876.79999999999</v>
      </c>
      <c r="G45" s="187">
        <v>64732.56</v>
      </c>
      <c r="H45" s="187">
        <v>58630.1</v>
      </c>
      <c r="I45" s="187">
        <f t="shared" si="1"/>
        <v>-6102.4599999999991</v>
      </c>
      <c r="J45" s="188">
        <v>183045.14</v>
      </c>
      <c r="K45" s="188">
        <v>79546.53</v>
      </c>
      <c r="L45" s="188">
        <f>L38+L44</f>
        <v>70919.839999999997</v>
      </c>
      <c r="M45" s="187">
        <f>L45-K45</f>
        <v>-8626.6900000000023</v>
      </c>
      <c r="N45" s="188">
        <v>90066.09</v>
      </c>
      <c r="O45" s="188">
        <v>73851.73</v>
      </c>
      <c r="P45" s="188">
        <f>P38+P44</f>
        <v>62772.489999999991</v>
      </c>
      <c r="Q45" s="188">
        <f>P45-O45</f>
        <v>-11079.240000000005</v>
      </c>
      <c r="R45" s="187">
        <f>R38+R44</f>
        <v>165645.94</v>
      </c>
      <c r="S45" s="188">
        <v>74665.649999999994</v>
      </c>
      <c r="T45" s="188">
        <f>T38+T44</f>
        <v>80867.900000000009</v>
      </c>
      <c r="U45" s="188">
        <f>T45-S45</f>
        <v>6202.2500000000146</v>
      </c>
      <c r="V45" s="187">
        <f>V38+V44+V43</f>
        <v>210574.27000000002</v>
      </c>
      <c r="W45" s="187">
        <f>W38+W44+W43</f>
        <v>85390.2</v>
      </c>
      <c r="X45" s="188">
        <f>X38+X44+X43</f>
        <v>105915.08</v>
      </c>
      <c r="Y45" s="188">
        <f>X45-W45</f>
        <v>20524.880000000005</v>
      </c>
      <c r="Z45" s="187">
        <f>Z38+Z44+Z43</f>
        <v>152467.51</v>
      </c>
      <c r="AA45" s="187">
        <f>AA38+AA44+AA43</f>
        <v>91715.51999999999</v>
      </c>
      <c r="AB45" s="187">
        <f>AB38+AB44+AB43</f>
        <v>109530.46</v>
      </c>
      <c r="AC45" s="188">
        <f>AB45-AA45</f>
        <v>17814.940000000017</v>
      </c>
      <c r="AD45" s="187">
        <f>AD38+AD44+AD43</f>
        <v>102701.95999999999</v>
      </c>
      <c r="AE45" s="187">
        <f>AE38+AE44+AE43</f>
        <v>85007.64</v>
      </c>
      <c r="AF45" s="187">
        <f>AF38+AF44+AF43</f>
        <v>107054.927</v>
      </c>
      <c r="AG45" s="188">
        <f>AF45-AE45</f>
        <v>22047.286999999997</v>
      </c>
    </row>
    <row r="46" spans="1:35" ht="15.6" outlineLevel="1" x14ac:dyDescent="0.3">
      <c r="A46" s="390">
        <v>16</v>
      </c>
      <c r="B46" s="188" t="s">
        <v>795</v>
      </c>
      <c r="C46" s="391"/>
      <c r="D46" s="391"/>
      <c r="E46" s="184"/>
      <c r="F46" s="182"/>
      <c r="G46" s="392">
        <v>20602.45</v>
      </c>
      <c r="H46" s="392">
        <v>26786</v>
      </c>
      <c r="I46" s="187">
        <f t="shared" si="1"/>
        <v>6183.5499999999993</v>
      </c>
      <c r="J46" s="182"/>
      <c r="K46" s="188">
        <v>21312.65</v>
      </c>
      <c r="L46" s="188">
        <v>30804.3</v>
      </c>
      <c r="M46" s="187">
        <f>L46-K46</f>
        <v>9491.6499999999978</v>
      </c>
      <c r="N46" s="182"/>
      <c r="O46" s="392">
        <v>20939.8</v>
      </c>
      <c r="P46" s="392">
        <v>34167.550000000003</v>
      </c>
      <c r="Q46" s="188">
        <f>P46-O46</f>
        <v>13227.750000000004</v>
      </c>
      <c r="R46" s="188">
        <v>24105.65</v>
      </c>
      <c r="S46" s="188">
        <v>24105.65</v>
      </c>
      <c r="T46" s="188">
        <v>33537.24</v>
      </c>
      <c r="U46" s="188">
        <f>T46-S46</f>
        <v>9431.5899999999965</v>
      </c>
      <c r="V46" s="188">
        <v>26852.71</v>
      </c>
      <c r="W46" s="188">
        <v>26852.71</v>
      </c>
      <c r="X46" s="188">
        <v>28412.82</v>
      </c>
      <c r="Y46" s="188">
        <f>X46-W46</f>
        <v>1560.1100000000006</v>
      </c>
      <c r="Z46" s="188">
        <v>26565.572</v>
      </c>
      <c r="AA46" s="188">
        <v>26565.572</v>
      </c>
      <c r="AB46" s="188">
        <v>27299.68</v>
      </c>
      <c r="AC46" s="188">
        <f>AB46-AA46</f>
        <v>734.10800000000017</v>
      </c>
      <c r="AD46" s="188">
        <v>26565.572</v>
      </c>
      <c r="AE46" s="188">
        <v>26565.572</v>
      </c>
      <c r="AF46" s="188">
        <v>24125.19</v>
      </c>
      <c r="AG46" s="188">
        <f>AF46-AE46</f>
        <v>-2440.3820000000014</v>
      </c>
    </row>
    <row r="47" spans="1:35" outlineLevel="1" x14ac:dyDescent="0.25">
      <c r="A47" s="393">
        <v>17</v>
      </c>
      <c r="B47" s="188" t="s">
        <v>796</v>
      </c>
      <c r="C47" s="182"/>
      <c r="D47" s="182"/>
      <c r="E47" s="182"/>
      <c r="F47" s="182"/>
      <c r="G47" s="392">
        <v>85335.01</v>
      </c>
      <c r="H47" s="392">
        <v>85416.1</v>
      </c>
      <c r="I47" s="187">
        <f t="shared" si="1"/>
        <v>81.090000000011059</v>
      </c>
      <c r="J47" s="182"/>
      <c r="K47" s="392">
        <v>100859.18</v>
      </c>
      <c r="L47" s="392">
        <v>101724.14</v>
      </c>
      <c r="M47" s="187">
        <f>L47-K47</f>
        <v>864.9600000000064</v>
      </c>
      <c r="N47" s="182"/>
      <c r="O47" s="392">
        <v>94791.53</v>
      </c>
      <c r="P47" s="392">
        <v>109226.18</v>
      </c>
      <c r="Q47" s="188">
        <f>P47-O47</f>
        <v>14434.649999999994</v>
      </c>
      <c r="R47" s="188">
        <f>R45+R46</f>
        <v>189751.59</v>
      </c>
      <c r="S47" s="188">
        <f>S45+S46</f>
        <v>98771.299999999988</v>
      </c>
      <c r="T47" s="188">
        <f>T45+T46</f>
        <v>114405.14000000001</v>
      </c>
      <c r="U47" s="188">
        <f>T47-S47</f>
        <v>15633.840000000026</v>
      </c>
      <c r="V47" s="188">
        <f>V45+V46</f>
        <v>237426.98</v>
      </c>
      <c r="W47" s="188">
        <f>W45+W46</f>
        <v>112242.91</v>
      </c>
      <c r="X47" s="187">
        <f>X45+X46</f>
        <v>134327.9</v>
      </c>
      <c r="Y47" s="188">
        <f>X47-W47</f>
        <v>22084.989999999991</v>
      </c>
      <c r="Z47" s="188">
        <f>Z45+Z46</f>
        <v>179033.08199999999</v>
      </c>
      <c r="AA47" s="188">
        <f>AA45+AA46</f>
        <v>118281.09199999999</v>
      </c>
      <c r="AB47" s="187">
        <f>AB45+AB46</f>
        <v>136830.14000000001</v>
      </c>
      <c r="AC47" s="188">
        <f>AB47-AA47</f>
        <v>18549.048000000024</v>
      </c>
      <c r="AD47" s="188">
        <f>AD45+AD46</f>
        <v>129267.53199999999</v>
      </c>
      <c r="AE47" s="188">
        <f>AE45+AE46</f>
        <v>111573.212</v>
      </c>
      <c r="AF47" s="187">
        <f>AF45+AF46</f>
        <v>131180.117</v>
      </c>
      <c r="AG47" s="188">
        <f>AF47-AE47</f>
        <v>19606.904999999999</v>
      </c>
    </row>
    <row r="48" spans="1:35" outlineLevel="1" x14ac:dyDescent="0.25">
      <c r="A48" s="393">
        <v>18</v>
      </c>
      <c r="B48" s="188" t="s">
        <v>797</v>
      </c>
      <c r="C48" s="182"/>
      <c r="D48" s="182"/>
      <c r="E48" s="182"/>
      <c r="F48" s="182"/>
      <c r="G48" s="392"/>
      <c r="H48" s="392">
        <v>82182</v>
      </c>
      <c r="I48" s="182"/>
      <c r="J48" s="182"/>
      <c r="K48" s="182"/>
      <c r="L48" s="394">
        <v>97994</v>
      </c>
      <c r="M48" s="187"/>
      <c r="N48" s="182"/>
      <c r="O48" s="392"/>
      <c r="P48" s="392">
        <v>70452.45</v>
      </c>
      <c r="Q48" s="182"/>
      <c r="R48" s="188"/>
      <c r="S48" s="188"/>
      <c r="T48" s="188">
        <v>103082.7</v>
      </c>
      <c r="U48" s="182"/>
      <c r="V48" s="188"/>
      <c r="W48" s="188"/>
      <c r="X48" s="188">
        <v>112280.9</v>
      </c>
      <c r="Y48" s="182"/>
      <c r="Z48" s="188"/>
      <c r="AA48" s="188"/>
      <c r="AB48" s="188">
        <v>118172.53</v>
      </c>
      <c r="AC48" s="182"/>
      <c r="AD48" s="188"/>
      <c r="AE48" s="188"/>
      <c r="AF48" s="188">
        <v>112299.98</v>
      </c>
      <c r="AG48" s="182"/>
    </row>
    <row r="49" spans="1:33" outlineLevel="1" x14ac:dyDescent="0.25">
      <c r="A49" s="393">
        <v>19</v>
      </c>
      <c r="B49" s="188" t="s">
        <v>798</v>
      </c>
      <c r="C49" s="182"/>
      <c r="D49" s="182"/>
      <c r="E49" s="182"/>
      <c r="F49" s="182"/>
      <c r="G49" s="392"/>
      <c r="H49" s="392" t="s">
        <v>799</v>
      </c>
      <c r="I49" s="182"/>
      <c r="J49" s="182"/>
      <c r="K49" s="182"/>
      <c r="L49" s="395" t="s">
        <v>800</v>
      </c>
      <c r="M49" s="187"/>
      <c r="N49" s="182"/>
      <c r="O49" s="392"/>
      <c r="P49" s="392" t="s">
        <v>801</v>
      </c>
      <c r="Q49" s="182"/>
      <c r="R49" s="188"/>
      <c r="S49" s="188"/>
      <c r="T49" s="392" t="s">
        <v>802</v>
      </c>
      <c r="U49" s="182"/>
      <c r="V49" s="188"/>
      <c r="W49" s="188"/>
      <c r="X49" s="392">
        <v>-7197</v>
      </c>
      <c r="Y49" s="182"/>
      <c r="Z49" s="188"/>
      <c r="AA49" s="188"/>
      <c r="AB49" s="392">
        <v>-19723</v>
      </c>
      <c r="AC49" s="182"/>
      <c r="AD49" s="188"/>
      <c r="AE49" s="188"/>
      <c r="AF49" s="392">
        <v>-16508</v>
      </c>
      <c r="AG49" s="182"/>
    </row>
    <row r="51" spans="1:33" x14ac:dyDescent="0.25">
      <c r="A51" s="11" t="s">
        <v>9</v>
      </c>
      <c r="B51" s="396" t="s">
        <v>537</v>
      </c>
    </row>
  </sheetData>
  <mergeCells count="24">
    <mergeCell ref="AC4:AC5"/>
    <mergeCell ref="AD4:AE4"/>
    <mergeCell ref="AF4:AF5"/>
    <mergeCell ref="AG4:AG5"/>
    <mergeCell ref="V4:W4"/>
    <mergeCell ref="X4:X5"/>
    <mergeCell ref="Y4:Y5"/>
    <mergeCell ref="Z4:AA4"/>
    <mergeCell ref="AB4:AB5"/>
    <mergeCell ref="P4:P5"/>
    <mergeCell ref="Q4:Q5"/>
    <mergeCell ref="R4:S4"/>
    <mergeCell ref="T4:T5"/>
    <mergeCell ref="U4:U5"/>
    <mergeCell ref="A2:C2"/>
    <mergeCell ref="A4:A5"/>
    <mergeCell ref="B4:B5"/>
    <mergeCell ref="F4:G4"/>
    <mergeCell ref="H4:H5"/>
    <mergeCell ref="I4:I5"/>
    <mergeCell ref="J4:K4"/>
    <mergeCell ref="L4:L5"/>
    <mergeCell ref="M4:M5"/>
    <mergeCell ref="N4:O4"/>
  </mergeCells>
  <pageMargins left="0.70866141732283472" right="0.70866141732283472" top="0.19685039370078741" bottom="0.15748031496062992" header="0.31496062992125984" footer="0.31496062992125984"/>
  <pageSetup paperSize="9"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opLeftCell="A61" workbookViewId="0">
      <selection activeCell="R57" sqref="R57:R67"/>
    </sheetView>
  </sheetViews>
  <sheetFormatPr defaultColWidth="8.77734375" defaultRowHeight="14.4" outlineLevelCol="2" x14ac:dyDescent="0.3"/>
  <cols>
    <col min="1" max="1" width="7.77734375" style="9" customWidth="1"/>
    <col min="2" max="2" width="35.33203125" style="9" customWidth="1"/>
    <col min="3" max="3" width="9" style="9" hidden="1" customWidth="1" outlineLevel="2"/>
    <col min="4" max="4" width="9.21875" style="9" hidden="1" customWidth="1" outlineLevel="2"/>
    <col min="5" max="5" width="8.6640625" style="9" hidden="1" customWidth="1" outlineLevel="2"/>
    <col min="6" max="8" width="8.77734375" style="9" hidden="1" customWidth="1" outlineLevel="2"/>
    <col min="9" max="9" width="9.109375" style="9" hidden="1" customWidth="1" outlineLevel="1" collapsed="1"/>
    <col min="10" max="10" width="9.88671875" style="9" hidden="1" customWidth="1" outlineLevel="1"/>
    <col min="11" max="11" width="9.44140625" style="9" customWidth="1" collapsed="1"/>
    <col min="12" max="12" width="9.44140625" style="9" customWidth="1"/>
    <col min="13" max="13" width="8.77734375" style="9"/>
    <col min="14" max="14" width="9.77734375" style="9" customWidth="1"/>
    <col min="15" max="15" width="9.6640625" style="9" customWidth="1"/>
    <col min="16" max="16" width="9.33203125" style="9" customWidth="1"/>
    <col min="17" max="17" width="10" style="9" customWidth="1"/>
    <col min="18" max="16384" width="8.77734375" style="9"/>
  </cols>
  <sheetData>
    <row r="1" spans="1:17" ht="39.6" customHeight="1" x14ac:dyDescent="0.3">
      <c r="A1" s="750" t="s">
        <v>432</v>
      </c>
      <c r="B1" s="750"/>
      <c r="C1" s="750"/>
      <c r="D1" s="750"/>
      <c r="E1" s="750"/>
      <c r="F1" s="750"/>
      <c r="G1" s="750"/>
      <c r="H1" s="750"/>
      <c r="I1" s="750"/>
      <c r="J1" s="750"/>
    </row>
    <row r="2" spans="1:17" ht="25.2" customHeight="1" x14ac:dyDescent="0.3">
      <c r="A2" s="751" t="s">
        <v>771</v>
      </c>
      <c r="B2" s="751"/>
      <c r="C2" s="751"/>
      <c r="D2" s="751"/>
      <c r="J2" s="9" t="s">
        <v>292</v>
      </c>
    </row>
    <row r="3" spans="1:17" ht="30.6" customHeight="1" x14ac:dyDescent="0.3">
      <c r="A3" s="47" t="s">
        <v>355</v>
      </c>
      <c r="B3" s="47" t="s">
        <v>151</v>
      </c>
      <c r="C3" s="47" t="s">
        <v>583</v>
      </c>
      <c r="D3" s="48" t="s">
        <v>682</v>
      </c>
      <c r="E3" s="47" t="s">
        <v>580</v>
      </c>
      <c r="F3" s="48" t="s">
        <v>716</v>
      </c>
      <c r="G3" s="47" t="s">
        <v>772</v>
      </c>
      <c r="H3" s="48" t="s">
        <v>773</v>
      </c>
      <c r="I3" s="47" t="s">
        <v>774</v>
      </c>
      <c r="J3" s="48" t="s">
        <v>775</v>
      </c>
      <c r="K3" s="47" t="s">
        <v>717</v>
      </c>
      <c r="L3" s="48" t="s">
        <v>776</v>
      </c>
      <c r="M3" s="47" t="s">
        <v>718</v>
      </c>
      <c r="N3" s="48" t="s">
        <v>777</v>
      </c>
      <c r="O3" s="385" t="s">
        <v>782</v>
      </c>
      <c r="P3" s="47" t="s">
        <v>719</v>
      </c>
      <c r="Q3" s="48" t="s">
        <v>843</v>
      </c>
    </row>
    <row r="4" spans="1:17" x14ac:dyDescent="0.3">
      <c r="A4" s="47">
        <v>1</v>
      </c>
      <c r="B4" s="28" t="s">
        <v>356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x14ac:dyDescent="0.3">
      <c r="A5" s="215" t="s">
        <v>584</v>
      </c>
      <c r="B5" s="94" t="s">
        <v>585</v>
      </c>
      <c r="C5" s="94">
        <v>2154.38</v>
      </c>
      <c r="D5" s="94">
        <f>D6+D9</f>
        <v>2589.1999999999998</v>
      </c>
      <c r="E5" s="94">
        <v>2321.08</v>
      </c>
      <c r="F5" s="94">
        <f>F6+F9</f>
        <v>5381.66</v>
      </c>
      <c r="G5" s="94">
        <v>2405.87</v>
      </c>
      <c r="H5" s="94">
        <f t="shared" ref="H5:N5" si="0">H6+H9</f>
        <v>3849.54</v>
      </c>
      <c r="I5" s="94">
        <f t="shared" si="0"/>
        <v>4402.26</v>
      </c>
      <c r="J5" s="94">
        <f t="shared" si="0"/>
        <v>3394.0799999999995</v>
      </c>
      <c r="K5" s="94">
        <f t="shared" si="0"/>
        <v>4612.12</v>
      </c>
      <c r="L5" s="94">
        <f t="shared" si="0"/>
        <v>6880.97</v>
      </c>
      <c r="M5" s="94">
        <f t="shared" si="0"/>
        <v>4563.9799999999996</v>
      </c>
      <c r="N5" s="94">
        <f t="shared" si="0"/>
        <v>7417.6200000000008</v>
      </c>
      <c r="O5" s="94">
        <f t="shared" ref="O5:Q5" si="1">O6+O9</f>
        <v>7417.6200000000008</v>
      </c>
      <c r="P5" s="94">
        <f t="shared" si="1"/>
        <v>4539.16</v>
      </c>
      <c r="Q5" s="94">
        <f t="shared" si="1"/>
        <v>7718.16</v>
      </c>
    </row>
    <row r="6" spans="1:17" x14ac:dyDescent="0.3">
      <c r="A6" s="211" t="s">
        <v>586</v>
      </c>
      <c r="B6" s="48" t="s">
        <v>550</v>
      </c>
      <c r="C6" s="47">
        <v>2154.38</v>
      </c>
      <c r="D6" s="47">
        <v>2271.4499999999998</v>
      </c>
      <c r="E6" s="47">
        <v>2321.08</v>
      </c>
      <c r="F6" s="47">
        <f>F7+F8</f>
        <v>3691.38</v>
      </c>
      <c r="G6" s="47">
        <v>2405.87</v>
      </c>
      <c r="H6" s="47">
        <v>3092.23</v>
      </c>
      <c r="I6" s="47">
        <v>3907.19</v>
      </c>
      <c r="J6" s="47">
        <f>J7+J8</f>
        <v>3270.6499999999996</v>
      </c>
      <c r="K6" s="47">
        <v>4093.45</v>
      </c>
      <c r="L6" s="47">
        <f>L7+L8</f>
        <v>4147.26</v>
      </c>
      <c r="M6" s="47">
        <f>M7+M8</f>
        <v>4050.73</v>
      </c>
      <c r="N6" s="47">
        <f>N7+N8</f>
        <v>5645.72</v>
      </c>
      <c r="O6" s="47">
        <f>O7+O8</f>
        <v>5645.72</v>
      </c>
      <c r="P6" s="47">
        <v>4028.7</v>
      </c>
      <c r="Q6" s="47">
        <v>5400.66</v>
      </c>
    </row>
    <row r="7" spans="1:17" x14ac:dyDescent="0.3">
      <c r="A7" s="211" t="s">
        <v>587</v>
      </c>
      <c r="B7" s="48" t="s">
        <v>544</v>
      </c>
      <c r="C7" s="47">
        <v>1202.6300000000001</v>
      </c>
      <c r="D7" s="47">
        <v>1600.62</v>
      </c>
      <c r="E7" s="47">
        <v>1295.69</v>
      </c>
      <c r="F7" s="47">
        <v>1590.86</v>
      </c>
      <c r="G7" s="47">
        <v>1343.02</v>
      </c>
      <c r="H7" s="47">
        <v>1744.6</v>
      </c>
      <c r="I7" s="47">
        <v>2163.62</v>
      </c>
      <c r="J7" s="47">
        <v>1847.1</v>
      </c>
      <c r="K7" s="47">
        <v>2266.7600000000002</v>
      </c>
      <c r="L7" s="47">
        <v>1716.93</v>
      </c>
      <c r="M7" s="47">
        <v>2243.11</v>
      </c>
      <c r="N7" s="47">
        <v>1723.71</v>
      </c>
      <c r="O7" s="47">
        <v>1723.71</v>
      </c>
      <c r="P7" s="47">
        <v>2230.91</v>
      </c>
      <c r="Q7" s="47">
        <v>1962.26</v>
      </c>
    </row>
    <row r="8" spans="1:17" x14ac:dyDescent="0.3">
      <c r="A8" s="211" t="s">
        <v>588</v>
      </c>
      <c r="B8" s="48" t="s">
        <v>589</v>
      </c>
      <c r="C8" s="47">
        <v>951.75</v>
      </c>
      <c r="D8" s="47">
        <f>D6-D7</f>
        <v>670.82999999999993</v>
      </c>
      <c r="E8" s="47">
        <v>1025.3900000000001</v>
      </c>
      <c r="F8" s="47">
        <v>2100.52</v>
      </c>
      <c r="G8" s="47">
        <v>1062.8499999999999</v>
      </c>
      <c r="H8" s="47">
        <f>H6-H7</f>
        <v>1347.63</v>
      </c>
      <c r="I8" s="47">
        <v>1743.57</v>
      </c>
      <c r="J8" s="47">
        <v>1423.55</v>
      </c>
      <c r="K8" s="47">
        <v>1826.68</v>
      </c>
      <c r="L8" s="47">
        <v>2430.33</v>
      </c>
      <c r="M8" s="47">
        <v>1807.62</v>
      </c>
      <c r="N8" s="47">
        <v>3922.01</v>
      </c>
      <c r="O8" s="47">
        <v>3922.01</v>
      </c>
      <c r="P8" s="47">
        <v>1797.79</v>
      </c>
      <c r="Q8" s="47">
        <f>Q6-1962.26</f>
        <v>3438.3999999999996</v>
      </c>
    </row>
    <row r="9" spans="1:17" ht="38.4" customHeight="1" x14ac:dyDescent="0.3">
      <c r="A9" s="211" t="s">
        <v>591</v>
      </c>
      <c r="B9" s="48" t="s">
        <v>590</v>
      </c>
      <c r="C9" s="47">
        <v>0</v>
      </c>
      <c r="D9" s="47">
        <v>317.75</v>
      </c>
      <c r="E9" s="47">
        <v>0</v>
      </c>
      <c r="F9" s="47">
        <v>1690.28</v>
      </c>
      <c r="G9" s="47">
        <v>0</v>
      </c>
      <c r="H9" s="47">
        <v>757.31</v>
      </c>
      <c r="I9" s="47">
        <v>495.07</v>
      </c>
      <c r="J9" s="47">
        <v>123.43</v>
      </c>
      <c r="K9" s="47">
        <v>518.66999999999996</v>
      </c>
      <c r="L9" s="47">
        <v>2733.71</v>
      </c>
      <c r="M9" s="47">
        <v>513.25</v>
      </c>
      <c r="N9" s="47">
        <v>1771.9</v>
      </c>
      <c r="O9" s="47">
        <v>1771.9</v>
      </c>
      <c r="P9" s="47">
        <v>510.46</v>
      </c>
      <c r="Q9" s="47">
        <v>2317.5</v>
      </c>
    </row>
    <row r="10" spans="1:17" x14ac:dyDescent="0.3">
      <c r="A10" s="214" t="s">
        <v>592</v>
      </c>
      <c r="B10" s="94" t="s">
        <v>357</v>
      </c>
      <c r="C10" s="209">
        <v>28088.3</v>
      </c>
      <c r="D10" s="94">
        <v>27380.42</v>
      </c>
      <c r="E10" s="209">
        <v>30261.72</v>
      </c>
      <c r="F10" s="94">
        <v>32421.33</v>
      </c>
      <c r="G10" s="94">
        <v>31367.18</v>
      </c>
      <c r="H10" s="94">
        <v>31067.59</v>
      </c>
      <c r="I10" s="94">
        <v>43324.76</v>
      </c>
      <c r="J10" s="94">
        <v>40980.519999999997</v>
      </c>
      <c r="K10" s="209">
        <v>45390.03</v>
      </c>
      <c r="L10" s="94">
        <v>46043.78</v>
      </c>
      <c r="M10" s="209">
        <v>44916.42</v>
      </c>
      <c r="N10" s="94">
        <v>54153.72</v>
      </c>
      <c r="O10" s="94">
        <v>45090.86</v>
      </c>
      <c r="P10" s="209">
        <v>44672.08</v>
      </c>
      <c r="Q10" s="94">
        <v>50917.760000000002</v>
      </c>
    </row>
    <row r="11" spans="1:17" ht="22.8" customHeight="1" x14ac:dyDescent="0.3">
      <c r="A11" s="214" t="s">
        <v>593</v>
      </c>
      <c r="B11" s="94" t="s">
        <v>358</v>
      </c>
      <c r="C11" s="94">
        <v>3620.23</v>
      </c>
      <c r="D11" s="94">
        <f>D12+D13</f>
        <v>4853.1200000000008</v>
      </c>
      <c r="E11" s="94">
        <v>3900.35</v>
      </c>
      <c r="F11" s="94">
        <f>F12+F13</f>
        <v>4806.1900000000005</v>
      </c>
      <c r="G11" s="94">
        <v>4042.83</v>
      </c>
      <c r="H11" s="94">
        <f>H12+H13</f>
        <v>3624.6000000000004</v>
      </c>
      <c r="I11" s="94">
        <v>6150.77</v>
      </c>
      <c r="J11" s="94">
        <f>J12+J13</f>
        <v>4304.74</v>
      </c>
      <c r="K11" s="94">
        <v>6443.97</v>
      </c>
      <c r="L11" s="94">
        <f>L12+L13</f>
        <v>7013.09</v>
      </c>
      <c r="M11" s="94">
        <v>6376.73</v>
      </c>
      <c r="N11" s="94">
        <f>N12+N13</f>
        <v>11686.11</v>
      </c>
      <c r="O11" s="94">
        <f>O12+O13</f>
        <v>11686.11</v>
      </c>
      <c r="P11" s="94">
        <f>P12+P13</f>
        <v>6342.04</v>
      </c>
      <c r="Q11" s="94">
        <f>Q12+Q13</f>
        <v>10294.060000000001</v>
      </c>
    </row>
    <row r="12" spans="1:17" x14ac:dyDescent="0.3">
      <c r="A12" s="216" t="s">
        <v>594</v>
      </c>
      <c r="B12" s="48" t="s">
        <v>595</v>
      </c>
      <c r="C12" s="204">
        <v>2057.3000000000002</v>
      </c>
      <c r="D12" s="47">
        <v>2051.5500000000002</v>
      </c>
      <c r="E12" s="204">
        <v>2216.44</v>
      </c>
      <c r="F12" s="47">
        <v>1846.34</v>
      </c>
      <c r="G12" s="47">
        <v>2297.41</v>
      </c>
      <c r="H12" s="47">
        <v>968.28</v>
      </c>
      <c r="I12" s="47">
        <v>3284.31</v>
      </c>
      <c r="J12" s="47">
        <v>1396.73</v>
      </c>
      <c r="K12" s="47">
        <v>3440.87</v>
      </c>
      <c r="L12" s="47">
        <v>3638.98</v>
      </c>
      <c r="M12" s="47">
        <v>3404.96</v>
      </c>
      <c r="N12" s="47">
        <v>8680.59</v>
      </c>
      <c r="O12" s="47">
        <v>8680.59</v>
      </c>
      <c r="P12" s="47">
        <v>3386.44</v>
      </c>
      <c r="Q12" s="47">
        <v>7466.27</v>
      </c>
    </row>
    <row r="13" spans="1:17" ht="28.8" x14ac:dyDescent="0.3">
      <c r="A13" s="216" t="s">
        <v>596</v>
      </c>
      <c r="B13" s="48" t="s">
        <v>597</v>
      </c>
      <c r="C13" s="47">
        <v>1562.97</v>
      </c>
      <c r="D13" s="47">
        <v>2801.57</v>
      </c>
      <c r="E13" s="47">
        <v>1683.91</v>
      </c>
      <c r="F13" s="47">
        <f>F14+F15+F16+F17+F18+F19+F20+F21+F22+F23+F25+F26+F24+F27+F28+F29</f>
        <v>2959.8500000000004</v>
      </c>
      <c r="G13" s="47">
        <v>1745.43</v>
      </c>
      <c r="H13" s="47">
        <f>H14+H15+H16+H17+H18+H19+H20+H21+H22+H23+H25+H26+H24+H27+H28+H29</f>
        <v>2656.32</v>
      </c>
      <c r="I13" s="47">
        <v>2866.46</v>
      </c>
      <c r="J13" s="47">
        <f>J14+J15+J16+J17+J18+J19+J20+J21+J22+J23+J25+J26+J24+J27+J28+J29</f>
        <v>2908.0099999999993</v>
      </c>
      <c r="K13" s="47">
        <v>3003.11</v>
      </c>
      <c r="L13" s="47">
        <f>L14+L15+L16+L18+L24+L25+L26+L29</f>
        <v>3374.1099999999997</v>
      </c>
      <c r="M13" s="47">
        <v>2971.77</v>
      </c>
      <c r="N13" s="47">
        <f>N14+N15+N16+N18+N24+N25+N26+N29</f>
        <v>3005.52</v>
      </c>
      <c r="O13" s="47">
        <f>O14+O15+O16+O18+O24+O25+O26+O29</f>
        <v>3005.52</v>
      </c>
      <c r="P13" s="47">
        <f>P14+P15+P16+P18+P24+P25+P26+P29</f>
        <v>2955.6</v>
      </c>
      <c r="Q13" s="47">
        <f>Q14+Q15+Q16+Q18+Q24+Q25+Q26+Q29</f>
        <v>2827.79</v>
      </c>
    </row>
    <row r="14" spans="1:17" x14ac:dyDescent="0.3">
      <c r="A14" s="211" t="s">
        <v>598</v>
      </c>
      <c r="B14" s="47" t="s">
        <v>235</v>
      </c>
      <c r="C14" s="47">
        <v>213.65</v>
      </c>
      <c r="D14" s="47">
        <v>391.9</v>
      </c>
      <c r="E14" s="47">
        <v>230.18</v>
      </c>
      <c r="F14" s="47">
        <v>389.29</v>
      </c>
      <c r="G14" s="47">
        <v>238.59</v>
      </c>
      <c r="H14" s="47">
        <v>398.87</v>
      </c>
      <c r="I14" s="47">
        <v>364.46</v>
      </c>
      <c r="J14" s="47">
        <v>383.84</v>
      </c>
      <c r="K14" s="47">
        <v>381.84</v>
      </c>
      <c r="L14" s="47">
        <v>387.24</v>
      </c>
      <c r="M14" s="47">
        <v>377.85</v>
      </c>
      <c r="N14" s="47">
        <v>413.54</v>
      </c>
      <c r="O14" s="47">
        <v>413.54</v>
      </c>
      <c r="P14" s="47">
        <v>375.8</v>
      </c>
      <c r="Q14" s="47">
        <v>466.8</v>
      </c>
    </row>
    <row r="15" spans="1:17" ht="28.8" x14ac:dyDescent="0.3">
      <c r="A15" s="212" t="s">
        <v>612</v>
      </c>
      <c r="B15" s="48" t="s">
        <v>599</v>
      </c>
      <c r="C15" s="204">
        <v>207.9</v>
      </c>
      <c r="D15" s="47">
        <v>208.9</v>
      </c>
      <c r="E15" s="204">
        <v>223.99</v>
      </c>
      <c r="F15" s="47">
        <v>211.3</v>
      </c>
      <c r="G15" s="47">
        <v>232.17</v>
      </c>
      <c r="H15" s="47">
        <v>232.89</v>
      </c>
      <c r="I15" s="47">
        <v>195.18</v>
      </c>
      <c r="J15" s="47">
        <v>198.32</v>
      </c>
      <c r="K15" s="47">
        <v>204.48</v>
      </c>
      <c r="L15" s="47">
        <v>203.96</v>
      </c>
      <c r="M15" s="47">
        <v>202.35</v>
      </c>
      <c r="N15" s="47">
        <v>207.9</v>
      </c>
      <c r="O15" s="47">
        <v>207.9</v>
      </c>
      <c r="P15" s="47">
        <v>201.25</v>
      </c>
      <c r="Q15" s="47">
        <v>214.05</v>
      </c>
    </row>
    <row r="16" spans="1:17" ht="28.8" customHeight="1" x14ac:dyDescent="0.3">
      <c r="A16" s="212" t="s">
        <v>613</v>
      </c>
      <c r="B16" s="48" t="s">
        <v>600</v>
      </c>
      <c r="C16" s="47">
        <v>68.66</v>
      </c>
      <c r="D16" s="47">
        <v>59.98</v>
      </c>
      <c r="E16" s="47">
        <v>73.97</v>
      </c>
      <c r="F16" s="47">
        <f>29.64+9.3+11.4</f>
        <v>50.339999999999996</v>
      </c>
      <c r="G16" s="47">
        <v>76.67</v>
      </c>
      <c r="H16" s="47">
        <f>9.41+13.34+25.24</f>
        <v>47.989999999999995</v>
      </c>
      <c r="I16" s="47">
        <v>57.8</v>
      </c>
      <c r="J16" s="47">
        <f>11.29+13.18+31.69</f>
        <v>56.16</v>
      </c>
      <c r="K16" s="47">
        <v>60.55</v>
      </c>
      <c r="L16" s="204">
        <f>17.56+14.07+31.78+6.99</f>
        <v>70.399999999999991</v>
      </c>
      <c r="M16" s="47">
        <v>59.92</v>
      </c>
      <c r="N16" s="204">
        <f>13.97+12.42+44.69</f>
        <v>71.08</v>
      </c>
      <c r="O16" s="204">
        <f>13.97+12.42+44.69</f>
        <v>71.08</v>
      </c>
      <c r="P16" s="47">
        <v>59.59</v>
      </c>
      <c r="Q16" s="204">
        <f>20.17+14.61+46.5</f>
        <v>81.28</v>
      </c>
    </row>
    <row r="17" spans="1:17" ht="16.5" customHeight="1" x14ac:dyDescent="0.3">
      <c r="A17" s="212" t="s">
        <v>614</v>
      </c>
      <c r="B17" s="48" t="s">
        <v>601</v>
      </c>
      <c r="C17" s="204">
        <v>125</v>
      </c>
      <c r="D17" s="47">
        <v>66</v>
      </c>
      <c r="E17" s="204">
        <v>134.66999999999999</v>
      </c>
      <c r="F17" s="47"/>
      <c r="G17" s="47">
        <v>139.59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ht="16.5" customHeight="1" x14ac:dyDescent="0.3">
      <c r="A18" s="212" t="s">
        <v>615</v>
      </c>
      <c r="B18" s="48" t="s">
        <v>565</v>
      </c>
      <c r="C18" s="47">
        <v>245.18</v>
      </c>
      <c r="D18" s="47">
        <v>325.2</v>
      </c>
      <c r="E18" s="47">
        <v>264.14999999999998</v>
      </c>
      <c r="F18" s="47">
        <v>411.23</v>
      </c>
      <c r="G18" s="47">
        <v>273.8</v>
      </c>
      <c r="H18" s="47">
        <v>357.95</v>
      </c>
      <c r="I18" s="47">
        <v>434.54</v>
      </c>
      <c r="J18" s="47">
        <v>490.96</v>
      </c>
      <c r="K18" s="47">
        <v>455.25</v>
      </c>
      <c r="L18" s="47">
        <v>439.43</v>
      </c>
      <c r="M18" s="47">
        <v>450.5</v>
      </c>
      <c r="N18" s="47">
        <v>462.89</v>
      </c>
      <c r="O18" s="47">
        <v>462.89</v>
      </c>
      <c r="P18" s="47">
        <v>448.05</v>
      </c>
      <c r="Q18" s="47">
        <v>455.06</v>
      </c>
    </row>
    <row r="19" spans="1:17" x14ac:dyDescent="0.3">
      <c r="A19" s="212" t="s">
        <v>616</v>
      </c>
      <c r="B19" s="48" t="s">
        <v>602</v>
      </c>
      <c r="C19" s="47">
        <v>0</v>
      </c>
      <c r="D19" s="47">
        <v>32.630000000000003</v>
      </c>
      <c r="E19" s="47">
        <v>0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x14ac:dyDescent="0.3">
      <c r="A20" s="212" t="s">
        <v>617</v>
      </c>
      <c r="B20" s="48" t="s">
        <v>603</v>
      </c>
      <c r="C20" s="47">
        <v>0</v>
      </c>
      <c r="D20" s="47"/>
      <c r="E20" s="47">
        <v>0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x14ac:dyDescent="0.3">
      <c r="A21" s="212" t="s">
        <v>618</v>
      </c>
      <c r="B21" s="48" t="s">
        <v>604</v>
      </c>
      <c r="C21" s="47">
        <v>0</v>
      </c>
      <c r="D21" s="47"/>
      <c r="E21" s="47">
        <v>0</v>
      </c>
      <c r="F21" s="47"/>
      <c r="G21" s="47"/>
      <c r="H21" s="47"/>
      <c r="I21" s="47"/>
      <c r="J21" s="204">
        <v>199</v>
      </c>
      <c r="K21" s="47"/>
      <c r="L21" s="47"/>
      <c r="M21" s="47"/>
      <c r="N21" s="47"/>
      <c r="O21" s="47"/>
      <c r="P21" s="47"/>
      <c r="Q21" s="47"/>
    </row>
    <row r="22" spans="1:17" x14ac:dyDescent="0.3">
      <c r="A22" s="212" t="s">
        <v>619</v>
      </c>
      <c r="B22" s="48" t="s">
        <v>605</v>
      </c>
      <c r="C22" s="47">
        <v>0</v>
      </c>
      <c r="D22" s="47"/>
      <c r="E22" s="47">
        <v>0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27" customHeight="1" x14ac:dyDescent="0.3">
      <c r="A23" s="212" t="s">
        <v>620</v>
      </c>
      <c r="B23" s="153" t="s">
        <v>607</v>
      </c>
      <c r="C23" s="47">
        <v>0</v>
      </c>
      <c r="D23" s="47"/>
      <c r="E23" s="47">
        <v>0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ht="28.8" x14ac:dyDescent="0.3">
      <c r="A24" s="212" t="s">
        <v>621</v>
      </c>
      <c r="B24" s="48" t="s">
        <v>606</v>
      </c>
      <c r="C24" s="47">
        <v>129.13999999999999</v>
      </c>
      <c r="D24" s="47">
        <v>544.87</v>
      </c>
      <c r="E24" s="47">
        <v>139.13</v>
      </c>
      <c r="F24" s="47">
        <f>160.13+63.53</f>
        <v>223.66</v>
      </c>
      <c r="G24" s="47">
        <v>144.21</v>
      </c>
      <c r="H24" s="47">
        <v>282.33</v>
      </c>
      <c r="I24" s="47">
        <v>395.03</v>
      </c>
      <c r="J24" s="47">
        <v>444.58</v>
      </c>
      <c r="K24" s="47">
        <v>413.87</v>
      </c>
      <c r="L24" s="47">
        <v>570.66999999999996</v>
      </c>
      <c r="M24" s="47">
        <v>409.55</v>
      </c>
      <c r="N24" s="47">
        <v>513.49</v>
      </c>
      <c r="O24" s="47">
        <v>513.49</v>
      </c>
      <c r="P24" s="47">
        <v>407.32</v>
      </c>
      <c r="Q24" s="47">
        <v>75.37</v>
      </c>
    </row>
    <row r="25" spans="1:17" x14ac:dyDescent="0.3">
      <c r="A25" s="212" t="s">
        <v>622</v>
      </c>
      <c r="B25" s="206" t="s">
        <v>608</v>
      </c>
      <c r="C25" s="47">
        <v>126</v>
      </c>
      <c r="D25" s="47">
        <v>250.1</v>
      </c>
      <c r="E25" s="47">
        <v>135.75</v>
      </c>
      <c r="F25" s="47">
        <v>223.03</v>
      </c>
      <c r="G25" s="47">
        <v>140.71</v>
      </c>
      <c r="H25" s="47">
        <v>74</v>
      </c>
      <c r="I25" s="47">
        <v>192.61</v>
      </c>
      <c r="J25" s="47">
        <v>132.65</v>
      </c>
      <c r="K25" s="47">
        <v>201.6</v>
      </c>
      <c r="L25" s="47">
        <v>197.84</v>
      </c>
      <c r="M25" s="47">
        <v>199.69</v>
      </c>
      <c r="N25" s="47">
        <v>289.43</v>
      </c>
      <c r="O25" s="47">
        <v>289.43</v>
      </c>
      <c r="P25" s="47">
        <v>198.6</v>
      </c>
      <c r="Q25" s="47">
        <v>102.55</v>
      </c>
    </row>
    <row r="26" spans="1:17" x14ac:dyDescent="0.3">
      <c r="A26" s="212" t="s">
        <v>623</v>
      </c>
      <c r="B26" s="206" t="s">
        <v>609</v>
      </c>
      <c r="C26" s="47">
        <v>40</v>
      </c>
      <c r="D26" s="47">
        <v>51.63</v>
      </c>
      <c r="E26" s="47">
        <v>43.1</v>
      </c>
      <c r="F26" s="47">
        <v>56.39</v>
      </c>
      <c r="G26" s="47">
        <v>44.67</v>
      </c>
      <c r="H26" s="47">
        <v>54.75</v>
      </c>
      <c r="I26" s="47">
        <v>52.41</v>
      </c>
      <c r="J26" s="47">
        <v>59.37</v>
      </c>
      <c r="K26" s="47">
        <v>54.91</v>
      </c>
      <c r="L26" s="47">
        <v>57.44</v>
      </c>
      <c r="M26" s="47">
        <v>54.33</v>
      </c>
      <c r="N26" s="47">
        <v>62.79</v>
      </c>
      <c r="O26" s="47">
        <v>62.79</v>
      </c>
      <c r="P26" s="47">
        <v>54.04</v>
      </c>
      <c r="Q26" s="47">
        <v>47.8</v>
      </c>
    </row>
    <row r="27" spans="1:17" x14ac:dyDescent="0.3">
      <c r="A27" s="212" t="s">
        <v>624</v>
      </c>
      <c r="B27" s="48" t="s">
        <v>610</v>
      </c>
      <c r="C27" s="47">
        <v>0</v>
      </c>
      <c r="D27" s="47"/>
      <c r="E27" s="47">
        <v>0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3.95" customHeight="1" x14ac:dyDescent="0.3">
      <c r="A28" s="212" t="s">
        <v>625</v>
      </c>
      <c r="B28" s="48" t="s">
        <v>611</v>
      </c>
      <c r="C28" s="47">
        <v>0</v>
      </c>
      <c r="D28" s="47"/>
      <c r="E28" s="47">
        <v>0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ht="13.95" customHeight="1" x14ac:dyDescent="0.3">
      <c r="A29" s="212" t="s">
        <v>626</v>
      </c>
      <c r="B29" s="48" t="s">
        <v>359</v>
      </c>
      <c r="C29" s="49">
        <v>407.45</v>
      </c>
      <c r="D29" s="47">
        <v>870.36</v>
      </c>
      <c r="E29" s="249">
        <v>438.98</v>
      </c>
      <c r="F29" s="47">
        <v>1394.61</v>
      </c>
      <c r="G29" s="47">
        <v>455.02</v>
      </c>
      <c r="H29" s="47">
        <f>2744.38-1536.84</f>
        <v>1207.5400000000002</v>
      </c>
      <c r="I29" s="47">
        <v>1174.43</v>
      </c>
      <c r="J29" s="204">
        <f>4001.66-1153.02-J14-J15-J16-J18-J24-J25-J21</f>
        <v>943.12999999999965</v>
      </c>
      <c r="K29" s="47">
        <v>1230.42</v>
      </c>
      <c r="L29" s="47">
        <f>38.23+13.83+634.48+124.41+232.37+2.77+107.97+1.67+2.55+277.05+11.8</f>
        <v>1447.1299999999999</v>
      </c>
      <c r="M29" s="47">
        <v>1217.58</v>
      </c>
      <c r="N29" s="47">
        <v>984.4</v>
      </c>
      <c r="O29" s="47">
        <v>984.4</v>
      </c>
      <c r="P29" s="47">
        <v>1210.95</v>
      </c>
      <c r="Q29" s="47">
        <v>1384.88</v>
      </c>
    </row>
    <row r="30" spans="1:17" ht="13.95" customHeight="1" x14ac:dyDescent="0.3">
      <c r="A30" s="217" t="s">
        <v>514</v>
      </c>
      <c r="B30" s="219" t="s">
        <v>627</v>
      </c>
      <c r="C30" s="209">
        <v>53.4</v>
      </c>
      <c r="D30" s="94">
        <v>51.2</v>
      </c>
      <c r="E30" s="209">
        <v>57.5</v>
      </c>
      <c r="F30" s="209">
        <f>F31+F34</f>
        <v>54.839999999999996</v>
      </c>
      <c r="G30" s="94">
        <v>59.6</v>
      </c>
      <c r="H30" s="94">
        <f>H31</f>
        <v>55.8</v>
      </c>
      <c r="I30" s="94">
        <v>96.69</v>
      </c>
      <c r="J30" s="94">
        <f>J31</f>
        <v>60</v>
      </c>
      <c r="K30" s="94">
        <v>101.3</v>
      </c>
      <c r="L30" s="94">
        <v>168.3</v>
      </c>
      <c r="M30" s="94">
        <v>100.24</v>
      </c>
      <c r="N30" s="94">
        <f>N31</f>
        <v>546.05999999999995</v>
      </c>
      <c r="O30" s="94">
        <f>O31</f>
        <v>546.05999999999995</v>
      </c>
      <c r="P30" s="94">
        <f>P31</f>
        <v>99.69</v>
      </c>
      <c r="Q30" s="94">
        <f>Q31</f>
        <v>1456.74</v>
      </c>
    </row>
    <row r="31" spans="1:17" ht="13.95" customHeight="1" x14ac:dyDescent="0.3">
      <c r="A31" s="212" t="s">
        <v>632</v>
      </c>
      <c r="B31" s="48" t="s">
        <v>628</v>
      </c>
      <c r="C31" s="204">
        <v>53.4</v>
      </c>
      <c r="D31" s="47">
        <v>51.2</v>
      </c>
      <c r="E31" s="204">
        <v>57.5</v>
      </c>
      <c r="F31" s="204">
        <v>49.3</v>
      </c>
      <c r="G31" s="47">
        <v>59.6</v>
      </c>
      <c r="H31" s="47">
        <v>55.8</v>
      </c>
      <c r="I31" s="47">
        <v>96.69</v>
      </c>
      <c r="J31" s="47">
        <v>60</v>
      </c>
      <c r="K31" s="47">
        <v>101.3</v>
      </c>
      <c r="L31" s="47">
        <v>168.3</v>
      </c>
      <c r="M31" s="47">
        <v>100.24</v>
      </c>
      <c r="N31" s="47">
        <v>546.05999999999995</v>
      </c>
      <c r="O31" s="47">
        <v>546.05999999999995</v>
      </c>
      <c r="P31" s="47">
        <v>99.69</v>
      </c>
      <c r="Q31" s="47">
        <v>1456.74</v>
      </c>
    </row>
    <row r="32" spans="1:17" ht="13.95" customHeight="1" x14ac:dyDescent="0.3">
      <c r="A32" s="212" t="s">
        <v>633</v>
      </c>
      <c r="B32" s="48" t="s">
        <v>629</v>
      </c>
      <c r="C32" s="204">
        <v>0</v>
      </c>
      <c r="D32" s="47"/>
      <c r="E32" s="204">
        <v>0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ht="24.6" customHeight="1" x14ac:dyDescent="0.3">
      <c r="A33" s="212" t="s">
        <v>634</v>
      </c>
      <c r="B33" s="48" t="s">
        <v>630</v>
      </c>
      <c r="C33" s="204">
        <v>0</v>
      </c>
      <c r="D33" s="47"/>
      <c r="E33" s="204">
        <v>0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ht="16.2" customHeight="1" x14ac:dyDescent="0.3">
      <c r="A34" s="212" t="s">
        <v>635</v>
      </c>
      <c r="B34" s="48" t="s">
        <v>631</v>
      </c>
      <c r="C34" s="204">
        <v>0</v>
      </c>
      <c r="D34" s="47"/>
      <c r="E34" s="204">
        <v>0</v>
      </c>
      <c r="F34" s="47">
        <v>5.54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ht="30.6" customHeight="1" x14ac:dyDescent="0.3">
      <c r="A35" s="218" t="s">
        <v>636</v>
      </c>
      <c r="B35" s="219" t="s">
        <v>637</v>
      </c>
      <c r="C35" s="209">
        <v>142.22999999999999</v>
      </c>
      <c r="D35" s="94">
        <v>68.400000000000006</v>
      </c>
      <c r="E35" s="209">
        <v>153.22999999999999</v>
      </c>
      <c r="F35" s="94">
        <v>43</v>
      </c>
      <c r="G35" s="94">
        <v>158.83000000000001</v>
      </c>
      <c r="H35" s="94">
        <f>H37+H39</f>
        <v>287.87</v>
      </c>
      <c r="I35" s="94">
        <v>425.64</v>
      </c>
      <c r="J35" s="94">
        <f>J37+J39</f>
        <v>263.64</v>
      </c>
      <c r="K35" s="94">
        <v>445.93</v>
      </c>
      <c r="L35" s="94">
        <v>390.02</v>
      </c>
      <c r="M35" s="94">
        <v>441.28</v>
      </c>
      <c r="N35" s="94">
        <f>N37</f>
        <v>237.89</v>
      </c>
      <c r="O35" s="94">
        <f>O37</f>
        <v>237.89</v>
      </c>
      <c r="P35" s="94">
        <f>P37</f>
        <v>438.88</v>
      </c>
      <c r="Q35" s="94">
        <f>Q37</f>
        <v>211.7</v>
      </c>
    </row>
    <row r="36" spans="1:17" x14ac:dyDescent="0.3">
      <c r="A36" s="212" t="s">
        <v>642</v>
      </c>
      <c r="B36" s="48" t="s">
        <v>638</v>
      </c>
      <c r="C36" s="204">
        <v>0</v>
      </c>
      <c r="D36" s="47"/>
      <c r="E36" s="204">
        <v>0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ht="22.8" customHeight="1" x14ac:dyDescent="0.3">
      <c r="A37" s="212" t="s">
        <v>643</v>
      </c>
      <c r="B37" s="153" t="s">
        <v>639</v>
      </c>
      <c r="C37" s="204">
        <v>142.22999999999999</v>
      </c>
      <c r="D37" s="47">
        <v>68.400000000000006</v>
      </c>
      <c r="E37" s="204">
        <v>153.22999999999999</v>
      </c>
      <c r="F37" s="47">
        <v>43</v>
      </c>
      <c r="G37" s="47">
        <v>158.83000000000001</v>
      </c>
      <c r="H37" s="47">
        <v>114.55</v>
      </c>
      <c r="I37" s="47">
        <v>425.64</v>
      </c>
      <c r="J37" s="47">
        <f>158.06+105.58</f>
        <v>263.64</v>
      </c>
      <c r="K37" s="47">
        <v>445.93</v>
      </c>
      <c r="L37" s="47">
        <f>225.85+164.17</f>
        <v>390.02</v>
      </c>
      <c r="M37" s="47">
        <v>441.28</v>
      </c>
      <c r="N37" s="47">
        <f>147.89+90</f>
        <v>237.89</v>
      </c>
      <c r="O37" s="47">
        <f>147.89+90</f>
        <v>237.89</v>
      </c>
      <c r="P37" s="47">
        <v>438.88</v>
      </c>
      <c r="Q37" s="47">
        <v>211.7</v>
      </c>
    </row>
    <row r="38" spans="1:17" ht="16.05" customHeight="1" x14ac:dyDescent="0.3">
      <c r="A38" s="212" t="s">
        <v>644</v>
      </c>
      <c r="B38" s="48" t="s">
        <v>640</v>
      </c>
      <c r="C38" s="204">
        <v>0</v>
      </c>
      <c r="D38" s="47"/>
      <c r="E38" s="204">
        <v>0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x14ac:dyDescent="0.3">
      <c r="A39" s="212" t="s">
        <v>645</v>
      </c>
      <c r="B39" s="48" t="s">
        <v>778</v>
      </c>
      <c r="C39" s="204">
        <v>0</v>
      </c>
      <c r="D39" s="47"/>
      <c r="E39" s="204">
        <v>0</v>
      </c>
      <c r="F39" s="47"/>
      <c r="G39" s="47"/>
      <c r="H39" s="47">
        <v>173.32</v>
      </c>
      <c r="I39" s="47"/>
      <c r="J39" s="47"/>
      <c r="K39" s="47"/>
      <c r="L39" s="47"/>
      <c r="M39" s="47"/>
      <c r="N39" s="47"/>
      <c r="O39" s="47"/>
      <c r="P39" s="47"/>
      <c r="Q39" s="47"/>
    </row>
    <row r="40" spans="1:17" ht="27" x14ac:dyDescent="0.3">
      <c r="A40" s="212"/>
      <c r="B40" s="54" t="s">
        <v>360</v>
      </c>
      <c r="C40" s="209">
        <f t="shared" ref="C40:L40" si="2">C5+C10+C11+C30+C35</f>
        <v>34058.540000000008</v>
      </c>
      <c r="D40" s="209">
        <f t="shared" si="2"/>
        <v>34942.339999999997</v>
      </c>
      <c r="E40" s="209">
        <f t="shared" si="2"/>
        <v>36693.880000000005</v>
      </c>
      <c r="F40" s="209">
        <f t="shared" si="2"/>
        <v>42707.020000000004</v>
      </c>
      <c r="G40" s="209">
        <f t="shared" si="2"/>
        <v>38034.310000000005</v>
      </c>
      <c r="H40" s="209">
        <f t="shared" si="2"/>
        <v>38885.4</v>
      </c>
      <c r="I40" s="209">
        <f t="shared" si="2"/>
        <v>54400.12000000001</v>
      </c>
      <c r="J40" s="209">
        <f t="shared" si="2"/>
        <v>49002.979999999996</v>
      </c>
      <c r="K40" s="209">
        <f t="shared" si="2"/>
        <v>56993.350000000006</v>
      </c>
      <c r="L40" s="209">
        <f t="shared" si="2"/>
        <v>60496.159999999996</v>
      </c>
      <c r="M40" s="209">
        <f>M5+M10+M11+M30+M35</f>
        <v>56398.649999999987</v>
      </c>
      <c r="N40" s="209">
        <f t="shared" ref="N40:O40" si="3">N5+N10+N11+N30+N35</f>
        <v>74041.400000000009</v>
      </c>
      <c r="O40" s="209">
        <f t="shared" si="3"/>
        <v>64978.54</v>
      </c>
      <c r="P40" s="209">
        <f>P5+P10+P11+P30+P35</f>
        <v>56091.850000000006</v>
      </c>
      <c r="Q40" s="209">
        <f t="shared" ref="Q40" si="4">Q5+Q10+Q11+Q30+Q35</f>
        <v>70598.42</v>
      </c>
    </row>
    <row r="41" spans="1:17" x14ac:dyDescent="0.3">
      <c r="A41" s="213"/>
      <c r="B41" s="207"/>
      <c r="C41" s="207"/>
      <c r="D41" s="207"/>
      <c r="E41" s="208"/>
      <c r="I41" s="85"/>
      <c r="J41" s="85"/>
      <c r="K41" s="85"/>
      <c r="L41" s="85"/>
      <c r="M41" s="85"/>
      <c r="N41" s="85"/>
      <c r="O41" s="85"/>
      <c r="P41" s="85"/>
      <c r="Q41" s="85"/>
    </row>
    <row r="42" spans="1:17" x14ac:dyDescent="0.3">
      <c r="A42" s="213"/>
      <c r="B42" s="207"/>
      <c r="C42" s="207"/>
      <c r="D42" s="207"/>
      <c r="E42" s="208"/>
    </row>
    <row r="43" spans="1:17" ht="31.8" customHeight="1" x14ac:dyDescent="0.3">
      <c r="A43" s="212"/>
      <c r="B43" s="220" t="s">
        <v>361</v>
      </c>
      <c r="C43" s="47" t="s">
        <v>583</v>
      </c>
      <c r="D43" s="48" t="s">
        <v>682</v>
      </c>
      <c r="E43" s="47" t="s">
        <v>580</v>
      </c>
      <c r="F43" s="48" t="s">
        <v>716</v>
      </c>
      <c r="G43" s="47" t="s">
        <v>772</v>
      </c>
      <c r="H43" s="48" t="s">
        <v>773</v>
      </c>
      <c r="I43" s="47" t="s">
        <v>774</v>
      </c>
      <c r="J43" s="48" t="s">
        <v>775</v>
      </c>
      <c r="K43" s="47" t="s">
        <v>717</v>
      </c>
      <c r="L43" s="48" t="s">
        <v>776</v>
      </c>
      <c r="M43" s="47" t="s">
        <v>718</v>
      </c>
      <c r="N43" s="48" t="s">
        <v>777</v>
      </c>
      <c r="O43" s="385" t="s">
        <v>782</v>
      </c>
      <c r="P43" s="47" t="s">
        <v>719</v>
      </c>
      <c r="Q43" s="48" t="s">
        <v>843</v>
      </c>
    </row>
    <row r="44" spans="1:17" x14ac:dyDescent="0.3">
      <c r="A44" s="47" t="s">
        <v>355</v>
      </c>
      <c r="B44" s="47" t="s">
        <v>151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x14ac:dyDescent="0.3">
      <c r="A45" s="212" t="s">
        <v>646</v>
      </c>
      <c r="B45" s="221" t="s">
        <v>647</v>
      </c>
      <c r="C45" s="47">
        <v>5528.72</v>
      </c>
      <c r="D45" s="47">
        <v>9074.0499999999993</v>
      </c>
      <c r="E45" s="47">
        <v>9557.8700000000008</v>
      </c>
      <c r="F45" s="47">
        <v>9197.2800000000007</v>
      </c>
      <c r="G45" s="47">
        <v>9531.9500000000007</v>
      </c>
      <c r="H45" s="47">
        <v>10583.75</v>
      </c>
      <c r="I45" s="47">
        <v>8878.5499999999993</v>
      </c>
      <c r="J45" s="47">
        <v>9943.2800000000007</v>
      </c>
      <c r="K45" s="47">
        <v>10669.59</v>
      </c>
      <c r="L45" s="47">
        <v>10470.9</v>
      </c>
      <c r="M45" s="47">
        <v>10920.48</v>
      </c>
      <c r="N45" s="47">
        <v>10882.4</v>
      </c>
      <c r="O45" s="47">
        <v>10882.4</v>
      </c>
      <c r="P45" s="47">
        <v>9923.17</v>
      </c>
      <c r="Q45" s="47">
        <v>10156.299999999999</v>
      </c>
    </row>
    <row r="46" spans="1:17" x14ac:dyDescent="0.3">
      <c r="A46" s="212" t="s">
        <v>648</v>
      </c>
      <c r="B46" s="48" t="s">
        <v>649</v>
      </c>
      <c r="C46" s="47">
        <v>0</v>
      </c>
      <c r="D46" s="47"/>
      <c r="E46" s="47">
        <v>0</v>
      </c>
      <c r="F46" s="47">
        <v>37.01</v>
      </c>
      <c r="G46" s="47">
        <v>64.2</v>
      </c>
      <c r="H46" s="47">
        <v>46.56</v>
      </c>
      <c r="I46" s="47">
        <v>50.09</v>
      </c>
      <c r="J46" s="47">
        <v>44.7</v>
      </c>
      <c r="K46" s="47">
        <v>51.22</v>
      </c>
      <c r="L46" s="47">
        <v>45.1</v>
      </c>
      <c r="M46" s="47">
        <v>48.2</v>
      </c>
      <c r="N46" s="47">
        <v>46.57</v>
      </c>
      <c r="O46" s="47">
        <v>46.57</v>
      </c>
      <c r="P46" s="47">
        <v>48.22</v>
      </c>
      <c r="Q46" s="47">
        <v>49.01</v>
      </c>
    </row>
    <row r="47" spans="1:17" s="85" customFormat="1" x14ac:dyDescent="0.3">
      <c r="A47" s="212" t="s">
        <v>652</v>
      </c>
      <c r="B47" s="48" t="s">
        <v>650</v>
      </c>
      <c r="C47" s="47">
        <v>136.43</v>
      </c>
      <c r="D47" s="47">
        <v>180.35</v>
      </c>
      <c r="E47" s="47">
        <v>203.25</v>
      </c>
      <c r="F47" s="47">
        <v>192.07</v>
      </c>
      <c r="G47" s="47">
        <v>201.81</v>
      </c>
      <c r="H47" s="47">
        <v>180.76</v>
      </c>
      <c r="I47" s="47">
        <v>204.11</v>
      </c>
      <c r="J47" s="47">
        <v>197.54</v>
      </c>
      <c r="K47" s="47">
        <v>228.84</v>
      </c>
      <c r="L47" s="47">
        <v>240.67</v>
      </c>
      <c r="M47" s="47">
        <v>225.44</v>
      </c>
      <c r="N47" s="47">
        <v>243.42</v>
      </c>
      <c r="O47" s="47">
        <v>243.42</v>
      </c>
      <c r="P47" s="47">
        <v>248.25</v>
      </c>
      <c r="Q47" s="47">
        <v>243.07</v>
      </c>
    </row>
    <row r="48" spans="1:17" s="85" customFormat="1" x14ac:dyDescent="0.3">
      <c r="A48" s="212" t="s">
        <v>653</v>
      </c>
      <c r="B48" s="48" t="s">
        <v>779</v>
      </c>
      <c r="C48" s="47">
        <v>0</v>
      </c>
      <c r="D48" s="47"/>
      <c r="E48" s="47">
        <v>0</v>
      </c>
      <c r="F48" s="47"/>
      <c r="G48" s="47"/>
      <c r="H48" s="47"/>
      <c r="I48" s="47">
        <v>1153.02</v>
      </c>
      <c r="J48" s="47">
        <v>1153.02</v>
      </c>
      <c r="K48" s="47">
        <v>1153.02</v>
      </c>
      <c r="L48" s="47">
        <v>1153.02</v>
      </c>
      <c r="M48" s="47">
        <v>1153.02</v>
      </c>
      <c r="N48" s="47">
        <v>1153.02</v>
      </c>
      <c r="O48" s="47">
        <v>1153.02</v>
      </c>
      <c r="P48" s="47">
        <v>1153.02</v>
      </c>
      <c r="Q48" s="47">
        <v>1153.02</v>
      </c>
    </row>
    <row r="49" spans="1:17" s="85" customFormat="1" x14ac:dyDescent="0.3">
      <c r="A49" s="212" t="s">
        <v>654</v>
      </c>
      <c r="B49" s="48" t="s">
        <v>655</v>
      </c>
      <c r="C49" s="47">
        <v>3034.88</v>
      </c>
      <c r="D49" s="47">
        <v>1959.36</v>
      </c>
      <c r="E49" s="47">
        <f>E51+E52+E53</f>
        <v>3545.38</v>
      </c>
      <c r="F49" s="47">
        <f>F51+F52+F53</f>
        <v>2932.9300000000003</v>
      </c>
      <c r="G49" s="47">
        <f>G51+G52+G53</f>
        <v>3545.43</v>
      </c>
      <c r="H49" s="47">
        <f>H51+H52+H53</f>
        <v>2844</v>
      </c>
      <c r="I49" s="47">
        <v>2932.96</v>
      </c>
      <c r="J49" s="47">
        <f>J51+J52+J53</f>
        <v>2716.18</v>
      </c>
      <c r="K49" s="47">
        <v>2840.18</v>
      </c>
      <c r="L49" s="47">
        <f>L51+L52+L53</f>
        <v>2604.29</v>
      </c>
      <c r="M49" s="47">
        <v>2716.16</v>
      </c>
      <c r="N49" s="47">
        <f>N51+N52+N53</f>
        <v>2500.2199999999998</v>
      </c>
      <c r="O49" s="47">
        <f>O51+O52+O53</f>
        <v>2500.2199999999998</v>
      </c>
      <c r="P49" s="94">
        <f>P51+P52+P53</f>
        <v>2606.8200000000002</v>
      </c>
      <c r="Q49" s="94">
        <f>Q51+Q52+Q53</f>
        <v>2482.1099999999997</v>
      </c>
    </row>
    <row r="50" spans="1:17" s="85" customFormat="1" x14ac:dyDescent="0.3">
      <c r="A50" s="212" t="s">
        <v>658</v>
      </c>
      <c r="B50" s="48" t="s">
        <v>656</v>
      </c>
      <c r="C50" s="47">
        <v>0</v>
      </c>
      <c r="D50" s="47"/>
      <c r="E50" s="47">
        <v>0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s="85" customFormat="1" x14ac:dyDescent="0.3">
      <c r="A51" s="212" t="s">
        <v>659</v>
      </c>
      <c r="B51" s="48" t="s">
        <v>563</v>
      </c>
      <c r="C51" s="47">
        <v>39.71</v>
      </c>
      <c r="D51" s="47">
        <v>44.93</v>
      </c>
      <c r="E51" s="47">
        <v>45.55</v>
      </c>
      <c r="F51" s="47">
        <v>46.9</v>
      </c>
      <c r="G51" s="47">
        <v>45.6</v>
      </c>
      <c r="H51" s="47">
        <v>52.57</v>
      </c>
      <c r="I51" s="47">
        <v>46.93</v>
      </c>
      <c r="J51" s="47">
        <v>52.91</v>
      </c>
      <c r="K51" s="204">
        <v>48.8</v>
      </c>
      <c r="L51" s="47">
        <v>47.34</v>
      </c>
      <c r="M51" s="204">
        <v>52.91</v>
      </c>
      <c r="N51" s="47">
        <v>49.47</v>
      </c>
      <c r="O51" s="47">
        <v>49.47</v>
      </c>
      <c r="P51" s="204">
        <v>49.46</v>
      </c>
      <c r="Q51" s="47">
        <v>29.77</v>
      </c>
    </row>
    <row r="52" spans="1:17" x14ac:dyDescent="0.3">
      <c r="A52" s="212" t="s">
        <v>660</v>
      </c>
      <c r="B52" s="48" t="s">
        <v>657</v>
      </c>
      <c r="C52" s="47">
        <v>0</v>
      </c>
      <c r="D52" s="47">
        <v>33.1</v>
      </c>
      <c r="E52" s="47">
        <v>19.100000000000001</v>
      </c>
      <c r="F52" s="47">
        <v>18.63</v>
      </c>
      <c r="G52" s="47">
        <v>19.100000000000001</v>
      </c>
      <c r="H52" s="47">
        <v>19.43</v>
      </c>
      <c r="I52" s="47">
        <v>18.63</v>
      </c>
      <c r="J52" s="47">
        <v>9.3000000000000007</v>
      </c>
      <c r="K52" s="47">
        <v>19.38</v>
      </c>
      <c r="L52" s="47">
        <v>5.95</v>
      </c>
      <c r="M52" s="47">
        <v>9.2799999999999994</v>
      </c>
      <c r="N52" s="47">
        <v>5.01</v>
      </c>
      <c r="O52" s="47">
        <v>5.01</v>
      </c>
      <c r="P52" s="47">
        <v>6.36</v>
      </c>
      <c r="Q52" s="47">
        <v>6.6</v>
      </c>
    </row>
    <row r="53" spans="1:17" x14ac:dyDescent="0.3">
      <c r="A53" s="212" t="s">
        <v>661</v>
      </c>
      <c r="B53" s="48" t="s">
        <v>564</v>
      </c>
      <c r="C53" s="47">
        <v>2995.17</v>
      </c>
      <c r="D53" s="47">
        <v>1881.33</v>
      </c>
      <c r="E53" s="47">
        <v>3480.73</v>
      </c>
      <c r="F53" s="47">
        <v>2867.4</v>
      </c>
      <c r="G53" s="47">
        <v>3480.73</v>
      </c>
      <c r="H53" s="47">
        <v>2772</v>
      </c>
      <c r="I53" s="47">
        <v>2867.4</v>
      </c>
      <c r="J53" s="47">
        <v>2653.97</v>
      </c>
      <c r="K53" s="47">
        <v>2772</v>
      </c>
      <c r="L53" s="47">
        <v>2551</v>
      </c>
      <c r="M53" s="47">
        <v>2653.97</v>
      </c>
      <c r="N53" s="47">
        <v>2445.7399999999998</v>
      </c>
      <c r="O53" s="47">
        <v>2445.7399999999998</v>
      </c>
      <c r="P53" s="47">
        <v>2551</v>
      </c>
      <c r="Q53" s="47">
        <v>2445.7399999999998</v>
      </c>
    </row>
    <row r="54" spans="1:17" ht="28.8" x14ac:dyDescent="0.3">
      <c r="A54" s="212" t="s">
        <v>662</v>
      </c>
      <c r="B54" s="48" t="s">
        <v>663</v>
      </c>
      <c r="C54" s="47">
        <v>8538.84</v>
      </c>
      <c r="D54" s="47">
        <v>7794</v>
      </c>
      <c r="E54" s="47">
        <v>9199.56</v>
      </c>
      <c r="F54" s="47">
        <v>9289.61</v>
      </c>
      <c r="G54" s="47">
        <v>9535.6200000000008</v>
      </c>
      <c r="H54" s="47">
        <v>9444.5499999999993</v>
      </c>
      <c r="I54" s="47">
        <v>13170.73</v>
      </c>
      <c r="J54" s="47">
        <v>11925.51</v>
      </c>
      <c r="K54" s="47">
        <v>13798.57</v>
      </c>
      <c r="L54" s="47">
        <v>13445.43</v>
      </c>
      <c r="M54" s="47">
        <v>13474.93</v>
      </c>
      <c r="N54" s="47">
        <v>15554.69</v>
      </c>
      <c r="O54" s="47">
        <v>13527.26</v>
      </c>
      <c r="P54" s="47">
        <v>13401.62</v>
      </c>
      <c r="Q54" s="47">
        <v>14930.19</v>
      </c>
    </row>
    <row r="55" spans="1:17" ht="28.8" x14ac:dyDescent="0.3">
      <c r="A55" s="212" t="s">
        <v>664</v>
      </c>
      <c r="B55" s="48" t="s">
        <v>362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x14ac:dyDescent="0.3">
      <c r="A56" s="212" t="s">
        <v>671</v>
      </c>
      <c r="B56" s="48" t="s">
        <v>665</v>
      </c>
      <c r="C56" s="47">
        <v>35.6</v>
      </c>
      <c r="D56" s="47"/>
      <c r="E56" s="47">
        <v>1540.51</v>
      </c>
      <c r="F56" s="47"/>
      <c r="G56" s="47">
        <v>1705.66</v>
      </c>
      <c r="H56" s="47"/>
      <c r="I56" s="47">
        <v>106.41</v>
      </c>
      <c r="J56" s="47"/>
      <c r="K56" s="47">
        <v>111.48</v>
      </c>
      <c r="L56" s="47"/>
      <c r="M56" s="47">
        <v>110.32</v>
      </c>
      <c r="N56" s="47"/>
      <c r="O56" s="47"/>
      <c r="P56" s="47">
        <v>109.72</v>
      </c>
      <c r="Q56" s="47"/>
    </row>
    <row r="57" spans="1:17" ht="28.8" x14ac:dyDescent="0.3">
      <c r="A57" s="212" t="s">
        <v>672</v>
      </c>
      <c r="B57" s="48" t="s">
        <v>683</v>
      </c>
      <c r="C57" s="47">
        <v>1755.42</v>
      </c>
      <c r="D57" s="47"/>
      <c r="E57" s="47">
        <v>1849.82</v>
      </c>
      <c r="F57" s="47"/>
      <c r="G57" s="47"/>
      <c r="H57" s="47"/>
      <c r="I57" s="47"/>
      <c r="J57" s="47"/>
      <c r="K57" s="47"/>
      <c r="L57" s="47"/>
      <c r="M57" s="47"/>
      <c r="N57" s="47"/>
      <c r="O57" s="47">
        <v>134.66</v>
      </c>
      <c r="P57" s="47"/>
      <c r="Q57" s="47">
        <v>1038.82</v>
      </c>
    </row>
    <row r="58" spans="1:17" x14ac:dyDescent="0.3">
      <c r="A58" s="212" t="s">
        <v>673</v>
      </c>
      <c r="B58" s="48" t="s">
        <v>666</v>
      </c>
      <c r="C58" s="47">
        <v>10947.46</v>
      </c>
      <c r="D58" s="47">
        <v>4680</v>
      </c>
      <c r="E58" s="47">
        <v>10947.46</v>
      </c>
      <c r="F58" s="47">
        <v>5891.47</v>
      </c>
      <c r="G58" s="47">
        <v>10947.46</v>
      </c>
      <c r="H58" s="47">
        <v>787.46</v>
      </c>
      <c r="I58" s="47">
        <v>5891.47</v>
      </c>
      <c r="J58" s="47">
        <v>5884.69</v>
      </c>
      <c r="K58" s="47">
        <v>5891.47</v>
      </c>
      <c r="L58" s="47">
        <v>5973</v>
      </c>
      <c r="M58" s="47">
        <v>522.25</v>
      </c>
      <c r="N58" s="47">
        <v>5108.74</v>
      </c>
      <c r="O58" s="47">
        <v>578.86</v>
      </c>
      <c r="P58" s="47">
        <v>699.73</v>
      </c>
      <c r="Q58" s="47">
        <v>4835.82</v>
      </c>
    </row>
    <row r="59" spans="1:17" ht="28.8" x14ac:dyDescent="0.3">
      <c r="A59" s="212" t="s">
        <v>674</v>
      </c>
      <c r="B59" s="48" t="s">
        <v>667</v>
      </c>
      <c r="C59" s="47">
        <v>0</v>
      </c>
      <c r="D59" s="47"/>
      <c r="E59" s="47">
        <v>0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1:17" ht="28.8" x14ac:dyDescent="0.3">
      <c r="A60" s="212" t="s">
        <v>675</v>
      </c>
      <c r="B60" s="48" t="s">
        <v>668</v>
      </c>
      <c r="C60" s="47">
        <v>10947.46</v>
      </c>
      <c r="D60" s="47">
        <v>4680</v>
      </c>
      <c r="E60" s="47">
        <v>10947.46</v>
      </c>
      <c r="F60" s="47">
        <v>5891.47</v>
      </c>
      <c r="G60" s="47">
        <v>10947.46</v>
      </c>
      <c r="H60" s="47">
        <v>787.46</v>
      </c>
      <c r="I60" s="47">
        <v>5891.47</v>
      </c>
      <c r="J60" s="47">
        <v>5884.69</v>
      </c>
      <c r="K60" s="47">
        <v>5891.47</v>
      </c>
      <c r="L60" s="47">
        <v>5973</v>
      </c>
      <c r="M60" s="47">
        <v>522.25</v>
      </c>
      <c r="N60" s="47">
        <v>5108.74</v>
      </c>
      <c r="O60" s="47">
        <v>578.86</v>
      </c>
      <c r="P60" s="47">
        <v>699.73</v>
      </c>
      <c r="Q60" s="47">
        <v>4835.82</v>
      </c>
    </row>
    <row r="61" spans="1:17" x14ac:dyDescent="0.3">
      <c r="A61" s="212" t="s">
        <v>676</v>
      </c>
      <c r="B61" s="48" t="s">
        <v>669</v>
      </c>
      <c r="C61" s="47">
        <v>0</v>
      </c>
      <c r="D61" s="47"/>
      <c r="E61" s="47">
        <v>0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17" x14ac:dyDescent="0.3">
      <c r="A62" s="212" t="s">
        <v>677</v>
      </c>
      <c r="B62" s="48" t="s">
        <v>670</v>
      </c>
      <c r="C62" s="47">
        <v>0</v>
      </c>
      <c r="D62" s="47"/>
      <c r="E62" s="47">
        <v>6008.8</v>
      </c>
      <c r="F62" s="47"/>
      <c r="G62" s="47">
        <v>6663.8</v>
      </c>
      <c r="H62" s="47"/>
      <c r="I62" s="47"/>
      <c r="J62" s="47"/>
      <c r="K62" s="47"/>
      <c r="L62" s="47">
        <v>11486.51</v>
      </c>
      <c r="M62" s="47"/>
      <c r="N62" s="47"/>
      <c r="O62" s="47"/>
      <c r="P62" s="47"/>
      <c r="Q62" s="47"/>
    </row>
    <row r="63" spans="1:17" ht="27" x14ac:dyDescent="0.3">
      <c r="A63" s="212"/>
      <c r="B63" s="54" t="s">
        <v>364</v>
      </c>
      <c r="C63" s="94">
        <f t="shared" ref="C63:N63" si="5">C45+C46+C47+C48+C49+C54+C56+C57+C58+C61+C62</f>
        <v>29977.35</v>
      </c>
      <c r="D63" s="94">
        <f t="shared" si="5"/>
        <v>23687.760000000002</v>
      </c>
      <c r="E63" s="94">
        <f t="shared" si="5"/>
        <v>42852.649999999994</v>
      </c>
      <c r="F63" s="94">
        <f t="shared" si="5"/>
        <v>27540.370000000003</v>
      </c>
      <c r="G63" s="94">
        <f t="shared" si="5"/>
        <v>42195.930000000008</v>
      </c>
      <c r="H63" s="94">
        <f t="shared" si="5"/>
        <v>23887.079999999998</v>
      </c>
      <c r="I63" s="94">
        <f t="shared" si="5"/>
        <v>32387.34</v>
      </c>
      <c r="J63" s="94">
        <f t="shared" si="5"/>
        <v>31864.920000000002</v>
      </c>
      <c r="K63" s="209">
        <f t="shared" si="5"/>
        <v>34744.369999999995</v>
      </c>
      <c r="L63" s="209">
        <f t="shared" si="5"/>
        <v>45418.920000000006</v>
      </c>
      <c r="M63" s="209">
        <f t="shared" si="5"/>
        <v>29170.800000000003</v>
      </c>
      <c r="N63" s="209">
        <f t="shared" si="5"/>
        <v>35489.06</v>
      </c>
      <c r="O63" s="209">
        <f>O45+O46+O47+O48+O49+O54+O56+O57+O58+O61+O62</f>
        <v>29066.41</v>
      </c>
      <c r="P63" s="209">
        <f t="shared" ref="P63:Q63" si="6">P45+P46+P47+P48+P49+P54+P56+P57+P58+P61+P62</f>
        <v>28190.55</v>
      </c>
      <c r="Q63" s="209">
        <f t="shared" si="6"/>
        <v>34888.339999999997</v>
      </c>
    </row>
    <row r="64" spans="1:17" x14ac:dyDescent="0.3">
      <c r="A64" s="213"/>
      <c r="B64" s="207"/>
      <c r="C64" s="207"/>
      <c r="D64" s="207"/>
      <c r="E64" s="152"/>
      <c r="I64" s="85"/>
      <c r="J64" s="85"/>
      <c r="K64" s="85"/>
      <c r="L64" s="85"/>
      <c r="M64" s="85"/>
      <c r="N64" s="85"/>
      <c r="O64" s="85"/>
      <c r="P64" s="85"/>
      <c r="Q64" s="85"/>
    </row>
    <row r="65" spans="1:17" x14ac:dyDescent="0.3">
      <c r="A65" s="752" t="s">
        <v>678</v>
      </c>
      <c r="B65" s="753"/>
      <c r="C65" s="753"/>
      <c r="D65" s="753"/>
      <c r="E65" s="753"/>
    </row>
    <row r="66" spans="1:17" ht="43.2" x14ac:dyDescent="0.3">
      <c r="A66" s="212" t="s">
        <v>679</v>
      </c>
      <c r="B66" s="48" t="s">
        <v>678</v>
      </c>
      <c r="C66" s="47">
        <v>696.75</v>
      </c>
      <c r="D66" s="47"/>
      <c r="E66" s="47"/>
      <c r="F66" s="47">
        <v>10676.78</v>
      </c>
      <c r="G66" s="47">
        <v>-4436.53</v>
      </c>
      <c r="H66" s="47"/>
      <c r="I66" s="47">
        <v>-12121.79</v>
      </c>
      <c r="J66" s="47"/>
      <c r="K66" s="47">
        <v>-6347.52</v>
      </c>
      <c r="L66" s="47"/>
      <c r="M66" s="47">
        <v>5847.4</v>
      </c>
      <c r="N66" s="47"/>
      <c r="O66" s="47"/>
      <c r="P66" s="47">
        <v>725.24</v>
      </c>
      <c r="Q66" s="47">
        <v>1568.1669999999999</v>
      </c>
    </row>
    <row r="67" spans="1:17" ht="43.2" x14ac:dyDescent="0.3">
      <c r="A67" s="212" t="s">
        <v>680</v>
      </c>
      <c r="B67" s="48" t="s">
        <v>780</v>
      </c>
      <c r="C67" s="47"/>
      <c r="D67" s="47"/>
      <c r="E67" s="47"/>
      <c r="F67" s="47"/>
      <c r="G67" s="47">
        <v>-1941.98</v>
      </c>
      <c r="H67" s="47"/>
      <c r="I67" s="47"/>
      <c r="J67" s="47"/>
      <c r="K67" s="47"/>
      <c r="L67" s="47"/>
      <c r="M67" s="47">
        <v>298.66000000000003</v>
      </c>
      <c r="N67" s="47"/>
      <c r="O67" s="47"/>
      <c r="P67" s="47"/>
      <c r="Q67" s="47"/>
    </row>
    <row r="68" spans="1:17" ht="31.2" x14ac:dyDescent="0.3">
      <c r="A68" s="212" t="s">
        <v>781</v>
      </c>
      <c r="B68" s="222" t="s">
        <v>681</v>
      </c>
      <c r="C68" s="209">
        <f>C40+C63+C66</f>
        <v>64732.640000000007</v>
      </c>
      <c r="D68" s="209">
        <f>D40+D63+D66</f>
        <v>58630.1</v>
      </c>
      <c r="E68" s="209">
        <f>E40+E63+E66</f>
        <v>79546.53</v>
      </c>
      <c r="F68" s="209">
        <f>F40+F63+F66</f>
        <v>80924.170000000013</v>
      </c>
      <c r="G68" s="209">
        <f t="shared" ref="G68:N68" si="7">G63+G40+G66+G67</f>
        <v>73851.730000000025</v>
      </c>
      <c r="H68" s="209">
        <f t="shared" si="7"/>
        <v>62772.479999999996</v>
      </c>
      <c r="I68" s="209">
        <f t="shared" si="7"/>
        <v>74665.670000000013</v>
      </c>
      <c r="J68" s="209">
        <f t="shared" si="7"/>
        <v>80867.899999999994</v>
      </c>
      <c r="K68" s="209">
        <f t="shared" si="7"/>
        <v>85390.2</v>
      </c>
      <c r="L68" s="209">
        <f t="shared" si="7"/>
        <v>105915.08</v>
      </c>
      <c r="M68" s="209">
        <f t="shared" si="7"/>
        <v>91715.50999999998</v>
      </c>
      <c r="N68" s="209">
        <f t="shared" si="7"/>
        <v>109530.46</v>
      </c>
      <c r="O68" s="209">
        <f t="shared" ref="O68:P68" si="8">O63+O40+O66+O67</f>
        <v>94044.95</v>
      </c>
      <c r="P68" s="209">
        <f t="shared" si="8"/>
        <v>85007.640000000014</v>
      </c>
      <c r="Q68" s="209">
        <f>Q63+Q40+Q66+Q67</f>
        <v>107054.927</v>
      </c>
    </row>
    <row r="70" spans="1:17" ht="12" customHeight="1" x14ac:dyDescent="0.3"/>
    <row r="71" spans="1:17" ht="15" customHeight="1" x14ac:dyDescent="0.3">
      <c r="A71" s="112" t="s">
        <v>9</v>
      </c>
      <c r="B71" s="384"/>
      <c r="D71" s="112"/>
      <c r="L71" s="112" t="s">
        <v>537</v>
      </c>
    </row>
    <row r="75" spans="1:17" s="85" customFormat="1" x14ac:dyDescent="0.3">
      <c r="A75" s="9"/>
      <c r="B75" s="9"/>
      <c r="C75" s="9"/>
      <c r="D75" s="9"/>
      <c r="E75" s="9"/>
      <c r="I75" s="9"/>
      <c r="J75" s="9"/>
      <c r="K75" s="9"/>
      <c r="L75" s="9"/>
      <c r="M75" s="9"/>
      <c r="N75" s="9"/>
    </row>
    <row r="76" spans="1:17" s="85" customFormat="1" ht="27.45" customHeight="1" x14ac:dyDescent="0.3">
      <c r="A76" s="9"/>
      <c r="B76" s="9"/>
      <c r="C76" s="9"/>
      <c r="D76" s="9"/>
      <c r="E76" s="9"/>
      <c r="I76" s="9"/>
      <c r="J76" s="9"/>
      <c r="K76" s="9"/>
      <c r="L76" s="9"/>
      <c r="M76" s="9"/>
      <c r="N76" s="9"/>
    </row>
  </sheetData>
  <mergeCells count="3">
    <mergeCell ref="A1:J1"/>
    <mergeCell ref="A2:D2"/>
    <mergeCell ref="A65:E65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96"/>
  <sheetViews>
    <sheetView workbookViewId="0">
      <selection activeCell="H110" sqref="H110"/>
    </sheetView>
  </sheetViews>
  <sheetFormatPr defaultColWidth="8.77734375" defaultRowHeight="11.4" x14ac:dyDescent="0.25"/>
  <cols>
    <col min="1" max="1" width="33.77734375" style="253" customWidth="1"/>
    <col min="2" max="2" width="10.33203125" style="253" customWidth="1"/>
    <col min="3" max="3" width="8.77734375" style="253"/>
    <col min="4" max="4" width="11" style="253" customWidth="1"/>
    <col min="5" max="5" width="8.44140625" style="253" customWidth="1"/>
    <col min="6" max="6" width="8.77734375" style="253"/>
    <col min="7" max="7" width="1.6640625" style="253" customWidth="1"/>
    <col min="8" max="16384" width="8.77734375" style="253"/>
  </cols>
  <sheetData>
    <row r="1" spans="1:7" x14ac:dyDescent="0.25">
      <c r="A1" s="600" t="s">
        <v>510</v>
      </c>
      <c r="B1" s="600"/>
      <c r="C1" s="600"/>
      <c r="D1" s="600"/>
      <c r="E1" s="600"/>
      <c r="F1" s="600"/>
      <c r="G1" s="252"/>
    </row>
    <row r="2" spans="1:7" ht="14.55" customHeight="1" x14ac:dyDescent="0.25">
      <c r="A2" s="601" t="s">
        <v>511</v>
      </c>
      <c r="B2" s="601"/>
      <c r="C2" s="601"/>
      <c r="D2" s="601"/>
      <c r="E2" s="601"/>
      <c r="F2" s="601"/>
      <c r="G2" s="254"/>
    </row>
    <row r="3" spans="1:7" ht="2.5499999999999998" customHeight="1" x14ac:dyDescent="0.25">
      <c r="A3" s="601"/>
      <c r="B3" s="601"/>
      <c r="C3" s="601"/>
      <c r="D3" s="601"/>
      <c r="E3" s="601"/>
      <c r="F3" s="601"/>
      <c r="G3" s="254"/>
    </row>
    <row r="4" spans="1:7" ht="13.05" customHeight="1" thickBot="1" x14ac:dyDescent="0.3">
      <c r="A4" s="255"/>
    </row>
    <row r="5" spans="1:7" ht="15" customHeight="1" x14ac:dyDescent="0.25">
      <c r="A5" s="602" t="s">
        <v>30</v>
      </c>
      <c r="B5" s="605" t="s">
        <v>31</v>
      </c>
      <c r="C5" s="605" t="s">
        <v>512</v>
      </c>
      <c r="D5" s="608" t="s">
        <v>473</v>
      </c>
      <c r="E5" s="611" t="s">
        <v>474</v>
      </c>
      <c r="F5" s="614" t="s">
        <v>475</v>
      </c>
    </row>
    <row r="6" spans="1:7" ht="14.55" customHeight="1" x14ac:dyDescent="0.25">
      <c r="A6" s="603"/>
      <c r="B6" s="606"/>
      <c r="C6" s="606"/>
      <c r="D6" s="609"/>
      <c r="E6" s="612"/>
      <c r="F6" s="615"/>
    </row>
    <row r="7" spans="1:7" ht="26.55" customHeight="1" thickBot="1" x14ac:dyDescent="0.3">
      <c r="A7" s="604"/>
      <c r="B7" s="607"/>
      <c r="C7" s="607"/>
      <c r="D7" s="610"/>
      <c r="E7" s="613"/>
      <c r="F7" s="616"/>
    </row>
    <row r="8" spans="1:7" ht="14.55" customHeight="1" x14ac:dyDescent="0.25">
      <c r="A8" s="256" t="s">
        <v>443</v>
      </c>
      <c r="B8" s="256" t="s">
        <v>513</v>
      </c>
      <c r="C8" s="256" t="s">
        <v>514</v>
      </c>
      <c r="D8" s="257">
        <v>4</v>
      </c>
      <c r="E8" s="258">
        <v>5</v>
      </c>
      <c r="F8" s="258">
        <v>6</v>
      </c>
    </row>
    <row r="9" spans="1:7" x14ac:dyDescent="0.25">
      <c r="A9" s="128" t="s">
        <v>515</v>
      </c>
      <c r="B9" s="129"/>
      <c r="C9" s="259"/>
      <c r="D9" s="259"/>
      <c r="E9" s="618" t="s">
        <v>516</v>
      </c>
      <c r="F9" s="259"/>
    </row>
    <row r="10" spans="1:7" x14ac:dyDescent="0.25">
      <c r="A10" s="130" t="s">
        <v>34</v>
      </c>
      <c r="B10" s="129" t="s">
        <v>32</v>
      </c>
      <c r="C10" s="259">
        <v>24.37</v>
      </c>
      <c r="D10" s="260">
        <f>C10*F10</f>
        <v>1.4378299999999999</v>
      </c>
      <c r="E10" s="618"/>
      <c r="F10" s="259">
        <v>5.8999999999999997E-2</v>
      </c>
    </row>
    <row r="11" spans="1:7" x14ac:dyDescent="0.25">
      <c r="A11" s="130" t="s">
        <v>35</v>
      </c>
      <c r="B11" s="129" t="s">
        <v>32</v>
      </c>
      <c r="C11" s="259">
        <v>16.309999999999999</v>
      </c>
      <c r="D11" s="260">
        <f>C11*F11</f>
        <v>0.96228999999999987</v>
      </c>
      <c r="E11" s="618"/>
      <c r="F11" s="259">
        <v>5.8999999999999997E-2</v>
      </c>
    </row>
    <row r="12" spans="1:7" x14ac:dyDescent="0.25">
      <c r="A12" s="131" t="s">
        <v>12</v>
      </c>
      <c r="B12" s="132"/>
      <c r="C12" s="261"/>
      <c r="D12" s="262">
        <f>SUM(D10:D11)</f>
        <v>2.4001199999999998</v>
      </c>
      <c r="E12" s="618"/>
      <c r="F12" s="259"/>
    </row>
    <row r="13" spans="1:7" ht="19.95" customHeight="1" x14ac:dyDescent="0.25">
      <c r="A13" s="619" t="s">
        <v>705</v>
      </c>
      <c r="B13" s="620"/>
      <c r="C13" s="259">
        <v>1.26</v>
      </c>
      <c r="D13" s="263">
        <f>(D10+D11)*1.26</f>
        <v>3.0241511999999999</v>
      </c>
      <c r="E13" s="618"/>
      <c r="F13" s="259"/>
    </row>
    <row r="14" spans="1:7" x14ac:dyDescent="0.25">
      <c r="A14" s="128" t="s">
        <v>33</v>
      </c>
      <c r="B14" s="133"/>
      <c r="C14" s="259"/>
      <c r="D14" s="259"/>
      <c r="E14" s="618"/>
      <c r="F14" s="259"/>
    </row>
    <row r="15" spans="1:7" x14ac:dyDescent="0.25">
      <c r="A15" s="130" t="s">
        <v>34</v>
      </c>
      <c r="B15" s="129" t="s">
        <v>32</v>
      </c>
      <c r="C15" s="259"/>
      <c r="D15" s="259"/>
      <c r="E15" s="618"/>
      <c r="F15" s="259">
        <v>0.04</v>
      </c>
    </row>
    <row r="16" spans="1:7" x14ac:dyDescent="0.25">
      <c r="A16" s="130" t="s">
        <v>35</v>
      </c>
      <c r="B16" s="129" t="s">
        <v>32</v>
      </c>
      <c r="C16" s="259">
        <v>20.12</v>
      </c>
      <c r="D16" s="259">
        <f>C16*F16</f>
        <v>1.006</v>
      </c>
      <c r="E16" s="618"/>
      <c r="F16" s="259">
        <v>0.05</v>
      </c>
    </row>
    <row r="17" spans="1:6" x14ac:dyDescent="0.25">
      <c r="A17" s="130" t="s">
        <v>707</v>
      </c>
      <c r="B17" s="129" t="s">
        <v>32</v>
      </c>
      <c r="C17" s="259">
        <v>52.89</v>
      </c>
      <c r="D17" s="259">
        <f t="shared" ref="D17:D18" si="0">C17*F17</f>
        <v>2.3800499999999998</v>
      </c>
      <c r="E17" s="618"/>
      <c r="F17" s="259">
        <v>4.4999999999999998E-2</v>
      </c>
    </row>
    <row r="18" spans="1:6" x14ac:dyDescent="0.25">
      <c r="A18" s="130" t="s">
        <v>708</v>
      </c>
      <c r="B18" s="129" t="s">
        <v>32</v>
      </c>
      <c r="C18" s="259">
        <v>6.86</v>
      </c>
      <c r="D18" s="259">
        <f t="shared" si="0"/>
        <v>0.30870000000000003</v>
      </c>
      <c r="E18" s="618"/>
      <c r="F18" s="259">
        <v>4.4999999999999998E-2</v>
      </c>
    </row>
    <row r="19" spans="1:6" x14ac:dyDescent="0.25">
      <c r="A19" s="128" t="s">
        <v>38</v>
      </c>
      <c r="B19" s="129"/>
      <c r="C19" s="259"/>
      <c r="D19" s="259"/>
      <c r="E19" s="618"/>
      <c r="F19" s="259"/>
    </row>
    <row r="20" spans="1:6" x14ac:dyDescent="0.25">
      <c r="A20" s="130" t="s">
        <v>34</v>
      </c>
      <c r="B20" s="129" t="s">
        <v>32</v>
      </c>
      <c r="C20" s="259"/>
      <c r="D20" s="259"/>
      <c r="E20" s="618"/>
      <c r="F20" s="259">
        <v>3.5000000000000003E-2</v>
      </c>
    </row>
    <row r="21" spans="1:6" x14ac:dyDescent="0.25">
      <c r="A21" s="130" t="s">
        <v>35</v>
      </c>
      <c r="B21" s="129" t="s">
        <v>32</v>
      </c>
      <c r="C21" s="259">
        <v>8.32</v>
      </c>
      <c r="D21" s="259">
        <f t="shared" ref="D21:D48" si="1">C21*F21</f>
        <v>0.29120000000000001</v>
      </c>
      <c r="E21" s="618"/>
      <c r="F21" s="259">
        <v>3.5000000000000003E-2</v>
      </c>
    </row>
    <row r="22" spans="1:6" x14ac:dyDescent="0.25">
      <c r="A22" s="130" t="s">
        <v>36</v>
      </c>
      <c r="B22" s="129" t="s">
        <v>32</v>
      </c>
      <c r="C22" s="259">
        <v>137.69999999999999</v>
      </c>
      <c r="D22" s="259">
        <f t="shared" si="1"/>
        <v>5.508</v>
      </c>
      <c r="E22" s="618"/>
      <c r="F22" s="259">
        <v>0.04</v>
      </c>
    </row>
    <row r="23" spans="1:6" x14ac:dyDescent="0.25">
      <c r="A23" s="130" t="s">
        <v>37</v>
      </c>
      <c r="B23" s="129" t="s">
        <v>32</v>
      </c>
      <c r="C23" s="259">
        <v>6.86</v>
      </c>
      <c r="D23" s="259">
        <f t="shared" si="1"/>
        <v>0.30870000000000003</v>
      </c>
      <c r="E23" s="618"/>
      <c r="F23" s="259">
        <v>4.4999999999999998E-2</v>
      </c>
    </row>
    <row r="24" spans="1:6" x14ac:dyDescent="0.25">
      <c r="A24" s="128" t="s">
        <v>39</v>
      </c>
      <c r="B24" s="129" t="s">
        <v>32</v>
      </c>
      <c r="C24" s="259">
        <v>23.92</v>
      </c>
      <c r="D24" s="259">
        <f t="shared" si="1"/>
        <v>0.71760000000000002</v>
      </c>
      <c r="E24" s="621" t="s">
        <v>517</v>
      </c>
      <c r="F24" s="259">
        <v>0.03</v>
      </c>
    </row>
    <row r="25" spans="1:6" x14ac:dyDescent="0.25">
      <c r="A25" s="128" t="s">
        <v>40</v>
      </c>
      <c r="B25" s="129" t="s">
        <v>32</v>
      </c>
      <c r="C25" s="259">
        <v>23.08</v>
      </c>
      <c r="D25" s="259">
        <f t="shared" si="1"/>
        <v>0.80779999999999996</v>
      </c>
      <c r="E25" s="621"/>
      <c r="F25" s="259">
        <v>3.5000000000000003E-2</v>
      </c>
    </row>
    <row r="26" spans="1:6" x14ac:dyDescent="0.25">
      <c r="A26" s="128" t="s">
        <v>518</v>
      </c>
      <c r="B26" s="129" t="s">
        <v>42</v>
      </c>
      <c r="C26" s="259">
        <v>878</v>
      </c>
      <c r="D26" s="259">
        <f t="shared" si="1"/>
        <v>0.17560000000000001</v>
      </c>
      <c r="E26" s="446" t="s">
        <v>519</v>
      </c>
      <c r="F26" s="259">
        <v>2.0000000000000001E-4</v>
      </c>
    </row>
    <row r="27" spans="1:6" ht="21.6" x14ac:dyDescent="0.25">
      <c r="A27" s="128" t="s">
        <v>41</v>
      </c>
      <c r="B27" s="129" t="s">
        <v>42</v>
      </c>
      <c r="C27" s="259">
        <v>8</v>
      </c>
      <c r="D27" s="259">
        <f t="shared" si="1"/>
        <v>0.216</v>
      </c>
      <c r="E27" s="622" t="s">
        <v>520</v>
      </c>
      <c r="F27" s="259">
        <v>2.7E-2</v>
      </c>
    </row>
    <row r="28" spans="1:6" ht="21.6" x14ac:dyDescent="0.25">
      <c r="A28" s="128" t="s">
        <v>43</v>
      </c>
      <c r="B28" s="129" t="s">
        <v>42</v>
      </c>
      <c r="C28" s="259">
        <v>64</v>
      </c>
      <c r="D28" s="259">
        <f t="shared" si="1"/>
        <v>1.6</v>
      </c>
      <c r="E28" s="618"/>
      <c r="F28" s="259">
        <v>2.5000000000000001E-2</v>
      </c>
    </row>
    <row r="29" spans="1:6" ht="21.6" x14ac:dyDescent="0.25">
      <c r="A29" s="128" t="s">
        <v>44</v>
      </c>
      <c r="B29" s="129" t="s">
        <v>42</v>
      </c>
      <c r="C29" s="259">
        <v>40</v>
      </c>
      <c r="D29" s="259">
        <f t="shared" si="1"/>
        <v>1.2</v>
      </c>
      <c r="E29" s="618"/>
      <c r="F29" s="259">
        <v>0.03</v>
      </c>
    </row>
    <row r="30" spans="1:6" ht="21.6" x14ac:dyDescent="0.25">
      <c r="A30" s="128" t="s">
        <v>521</v>
      </c>
      <c r="B30" s="129" t="s">
        <v>42</v>
      </c>
      <c r="C30" s="259"/>
      <c r="D30" s="259">
        <f t="shared" si="1"/>
        <v>0</v>
      </c>
      <c r="E30" s="618"/>
      <c r="F30" s="259"/>
    </row>
    <row r="31" spans="1:6" ht="21.6" x14ac:dyDescent="0.25">
      <c r="A31" s="128" t="s">
        <v>45</v>
      </c>
      <c r="B31" s="129" t="s">
        <v>42</v>
      </c>
      <c r="C31" s="259">
        <v>1</v>
      </c>
      <c r="D31" s="259">
        <f t="shared" si="1"/>
        <v>4</v>
      </c>
      <c r="E31" s="618"/>
      <c r="F31" s="259">
        <v>4</v>
      </c>
    </row>
    <row r="32" spans="1:6" x14ac:dyDescent="0.25">
      <c r="A32" s="623" t="s">
        <v>709</v>
      </c>
      <c r="B32" s="624"/>
      <c r="C32" s="624"/>
      <c r="D32" s="624"/>
      <c r="E32" s="625"/>
      <c r="F32" s="259"/>
    </row>
    <row r="33" spans="1:6" x14ac:dyDescent="0.25">
      <c r="A33" s="626"/>
      <c r="B33" s="627"/>
      <c r="C33" s="627"/>
      <c r="D33" s="627"/>
      <c r="E33" s="628"/>
      <c r="F33" s="259"/>
    </row>
    <row r="34" spans="1:6" x14ac:dyDescent="0.25">
      <c r="A34" s="629"/>
      <c r="B34" s="630"/>
      <c r="C34" s="630"/>
      <c r="D34" s="630"/>
      <c r="E34" s="631"/>
      <c r="F34" s="259"/>
    </row>
    <row r="35" spans="1:6" x14ac:dyDescent="0.25">
      <c r="A35" s="128" t="s">
        <v>46</v>
      </c>
      <c r="B35" s="129" t="s">
        <v>42</v>
      </c>
      <c r="C35" s="259"/>
      <c r="D35" s="259">
        <f t="shared" si="1"/>
        <v>0</v>
      </c>
      <c r="E35" s="446" t="s">
        <v>522</v>
      </c>
      <c r="F35" s="259"/>
    </row>
    <row r="36" spans="1:6" ht="21.6" x14ac:dyDescent="0.25">
      <c r="A36" s="128" t="s">
        <v>47</v>
      </c>
      <c r="B36" s="129"/>
      <c r="C36" s="259"/>
      <c r="D36" s="259"/>
      <c r="E36" s="621" t="s">
        <v>523</v>
      </c>
      <c r="F36" s="259"/>
    </row>
    <row r="37" spans="1:6" x14ac:dyDescent="0.25">
      <c r="A37" s="130" t="s">
        <v>48</v>
      </c>
      <c r="B37" s="129" t="s">
        <v>42</v>
      </c>
      <c r="C37" s="259">
        <v>44</v>
      </c>
      <c r="D37" s="259">
        <f t="shared" si="1"/>
        <v>0.11</v>
      </c>
      <c r="E37" s="621"/>
      <c r="F37" s="259">
        <v>2.5000000000000001E-3</v>
      </c>
    </row>
    <row r="38" spans="1:6" x14ac:dyDescent="0.25">
      <c r="A38" s="130" t="s">
        <v>49</v>
      </c>
      <c r="B38" s="129" t="s">
        <v>42</v>
      </c>
      <c r="C38" s="259">
        <v>440</v>
      </c>
      <c r="D38" s="259">
        <f t="shared" si="1"/>
        <v>0.88</v>
      </c>
      <c r="E38" s="621"/>
      <c r="F38" s="259">
        <v>2E-3</v>
      </c>
    </row>
    <row r="39" spans="1:6" ht="21.6" x14ac:dyDescent="0.25">
      <c r="A39" s="128" t="s">
        <v>524</v>
      </c>
      <c r="B39" s="129"/>
      <c r="C39" s="259"/>
      <c r="D39" s="259"/>
      <c r="E39" s="621" t="s">
        <v>525</v>
      </c>
      <c r="F39" s="259"/>
    </row>
    <row r="40" spans="1:6" x14ac:dyDescent="0.25">
      <c r="A40" s="130" t="s">
        <v>526</v>
      </c>
      <c r="B40" s="129" t="s">
        <v>42</v>
      </c>
      <c r="C40" s="259">
        <v>3136</v>
      </c>
      <c r="D40" s="259">
        <f t="shared" si="1"/>
        <v>1.0975999999999999</v>
      </c>
      <c r="E40" s="621"/>
      <c r="F40" s="259">
        <v>3.5E-4</v>
      </c>
    </row>
    <row r="41" spans="1:6" x14ac:dyDescent="0.25">
      <c r="A41" s="130" t="s">
        <v>527</v>
      </c>
      <c r="B41" s="129" t="s">
        <v>42</v>
      </c>
      <c r="C41" s="259">
        <v>340</v>
      </c>
      <c r="D41" s="259">
        <f t="shared" si="1"/>
        <v>0.10880000000000001</v>
      </c>
      <c r="E41" s="621"/>
      <c r="F41" s="259">
        <v>3.2000000000000003E-4</v>
      </c>
    </row>
    <row r="42" spans="1:6" ht="21.6" x14ac:dyDescent="0.25">
      <c r="A42" s="128" t="s">
        <v>528</v>
      </c>
      <c r="B42" s="129" t="s">
        <v>42</v>
      </c>
      <c r="C42" s="259">
        <f>845+46+287</f>
        <v>1178</v>
      </c>
      <c r="D42" s="259">
        <f t="shared" si="1"/>
        <v>3.0627999999999997</v>
      </c>
      <c r="E42" s="445" t="s">
        <v>529</v>
      </c>
      <c r="F42" s="259">
        <v>2.5999999999999999E-3</v>
      </c>
    </row>
    <row r="43" spans="1:6" x14ac:dyDescent="0.25">
      <c r="A43" s="128" t="s">
        <v>767</v>
      </c>
      <c r="B43" s="129"/>
      <c r="C43" s="259"/>
      <c r="D43" s="259"/>
      <c r="E43" s="632" t="s">
        <v>770</v>
      </c>
      <c r="F43" s="259"/>
    </row>
    <row r="44" spans="1:6" x14ac:dyDescent="0.25">
      <c r="A44" s="130" t="s">
        <v>768</v>
      </c>
      <c r="B44" s="129" t="s">
        <v>42</v>
      </c>
      <c r="C44" s="259">
        <v>2985</v>
      </c>
      <c r="D44" s="259">
        <f t="shared" si="1"/>
        <v>0.68654999999999999</v>
      </c>
      <c r="E44" s="633"/>
      <c r="F44" s="259">
        <v>2.3000000000000001E-4</v>
      </c>
    </row>
    <row r="45" spans="1:6" x14ac:dyDescent="0.25">
      <c r="A45" s="130" t="s">
        <v>769</v>
      </c>
      <c r="B45" s="129" t="s">
        <v>42</v>
      </c>
      <c r="C45" s="259">
        <v>1669</v>
      </c>
      <c r="D45" s="259">
        <f t="shared" si="1"/>
        <v>1.0013999999999998</v>
      </c>
      <c r="E45" s="634"/>
      <c r="F45" s="259">
        <v>5.9999999999999995E-4</v>
      </c>
    </row>
    <row r="46" spans="1:6" x14ac:dyDescent="0.25">
      <c r="A46" s="128" t="s">
        <v>50</v>
      </c>
      <c r="B46" s="129" t="s">
        <v>94</v>
      </c>
      <c r="C46" s="259">
        <v>44</v>
      </c>
      <c r="D46" s="259">
        <f t="shared" si="1"/>
        <v>0.41799999999999998</v>
      </c>
      <c r="E46" s="621" t="s">
        <v>530</v>
      </c>
      <c r="F46" s="259">
        <v>9.4999999999999998E-3</v>
      </c>
    </row>
    <row r="47" spans="1:6" ht="21.6" x14ac:dyDescent="0.25">
      <c r="A47" s="128" t="s">
        <v>51</v>
      </c>
      <c r="B47" s="129" t="s">
        <v>42</v>
      </c>
      <c r="C47" s="259">
        <v>440</v>
      </c>
      <c r="D47" s="259">
        <f t="shared" si="1"/>
        <v>1.76</v>
      </c>
      <c r="E47" s="621"/>
      <c r="F47" s="259">
        <v>4.0000000000000001E-3</v>
      </c>
    </row>
    <row r="48" spans="1:6" x14ac:dyDescent="0.25">
      <c r="A48" s="128" t="s">
        <v>52</v>
      </c>
      <c r="B48" s="129" t="s">
        <v>531</v>
      </c>
      <c r="C48" s="259">
        <v>2181.41</v>
      </c>
      <c r="D48" s="259">
        <f t="shared" si="1"/>
        <v>2.1814100000000001</v>
      </c>
      <c r="E48" s="446" t="s">
        <v>532</v>
      </c>
      <c r="F48" s="259">
        <v>1E-3</v>
      </c>
    </row>
    <row r="49" spans="1:6" x14ac:dyDescent="0.25">
      <c r="A49" s="617" t="s">
        <v>465</v>
      </c>
      <c r="B49" s="617"/>
      <c r="C49" s="617"/>
      <c r="D49" s="264">
        <f>SUM(D13:D48)</f>
        <v>32.850361199999995</v>
      </c>
      <c r="E49" s="261"/>
      <c r="F49" s="261"/>
    </row>
    <row r="50" spans="1:6" x14ac:dyDescent="0.25">
      <c r="A50" s="617" t="s">
        <v>53</v>
      </c>
      <c r="B50" s="617"/>
      <c r="C50" s="265">
        <v>1.18</v>
      </c>
      <c r="D50" s="266">
        <f>D49*C50</f>
        <v>38.763426215999992</v>
      </c>
      <c r="E50" s="259"/>
      <c r="F50" s="259"/>
    </row>
    <row r="51" spans="1:6" x14ac:dyDescent="0.25">
      <c r="A51" s="617" t="s">
        <v>54</v>
      </c>
      <c r="B51" s="617"/>
      <c r="C51" s="261">
        <v>1.18</v>
      </c>
      <c r="D51" s="267">
        <f>D50*C51</f>
        <v>45.740842934879986</v>
      </c>
      <c r="E51" s="259"/>
      <c r="F51" s="259"/>
    </row>
    <row r="53" spans="1:6" ht="58.5" customHeight="1" x14ac:dyDescent="0.25"/>
    <row r="54" spans="1:6" x14ac:dyDescent="0.25">
      <c r="A54" s="637" t="s">
        <v>533</v>
      </c>
      <c r="B54" s="637"/>
      <c r="C54" s="637"/>
      <c r="D54" s="637"/>
      <c r="E54" s="637"/>
      <c r="F54" s="637"/>
    </row>
    <row r="55" spans="1:6" x14ac:dyDescent="0.25">
      <c r="A55" s="638" t="s">
        <v>511</v>
      </c>
      <c r="B55" s="638"/>
      <c r="C55" s="638"/>
      <c r="D55" s="638"/>
      <c r="E55" s="638"/>
      <c r="F55" s="638"/>
    </row>
    <row r="56" spans="1:6" ht="4.95" customHeight="1" x14ac:dyDescent="0.25">
      <c r="A56" s="638"/>
      <c r="B56" s="638"/>
      <c r="C56" s="638"/>
      <c r="D56" s="638"/>
      <c r="E56" s="638"/>
      <c r="F56" s="638"/>
    </row>
    <row r="57" spans="1:6" ht="12" thickBot="1" x14ac:dyDescent="0.3"/>
    <row r="58" spans="1:6" x14ac:dyDescent="0.25">
      <c r="A58" s="602" t="s">
        <v>30</v>
      </c>
      <c r="B58" s="605" t="s">
        <v>31</v>
      </c>
      <c r="C58" s="605" t="s">
        <v>512</v>
      </c>
      <c r="D58" s="608" t="s">
        <v>473</v>
      </c>
      <c r="E58" s="611" t="s">
        <v>474</v>
      </c>
      <c r="F58" s="614" t="s">
        <v>475</v>
      </c>
    </row>
    <row r="59" spans="1:6" x14ac:dyDescent="0.25">
      <c r="A59" s="603"/>
      <c r="B59" s="606"/>
      <c r="C59" s="606"/>
      <c r="D59" s="609"/>
      <c r="E59" s="612"/>
      <c r="F59" s="615"/>
    </row>
    <row r="60" spans="1:6" ht="12" thickBot="1" x14ac:dyDescent="0.3">
      <c r="A60" s="604"/>
      <c r="B60" s="607"/>
      <c r="C60" s="607"/>
      <c r="D60" s="610"/>
      <c r="E60" s="613"/>
      <c r="F60" s="616"/>
    </row>
    <row r="61" spans="1:6" ht="12" thickBot="1" x14ac:dyDescent="0.3">
      <c r="A61" s="268">
        <v>1</v>
      </c>
      <c r="B61" s="269">
        <v>2</v>
      </c>
      <c r="C61" s="269">
        <v>3</v>
      </c>
      <c r="D61" s="269">
        <v>4</v>
      </c>
      <c r="E61" s="269">
        <v>5</v>
      </c>
      <c r="F61" s="270">
        <v>6</v>
      </c>
    </row>
    <row r="62" spans="1:6" x14ac:dyDescent="0.25">
      <c r="A62" s="134" t="s">
        <v>55</v>
      </c>
      <c r="B62" s="271" t="s">
        <v>42</v>
      </c>
      <c r="C62" s="272">
        <v>5</v>
      </c>
      <c r="D62" s="272">
        <v>6</v>
      </c>
      <c r="E62" s="272"/>
      <c r="F62" s="272"/>
    </row>
    <row r="63" spans="1:6" x14ac:dyDescent="0.25">
      <c r="A63" s="135" t="s">
        <v>706</v>
      </c>
      <c r="B63" s="133" t="s">
        <v>42</v>
      </c>
      <c r="C63" s="259">
        <v>4</v>
      </c>
      <c r="D63" s="259">
        <v>5</v>
      </c>
      <c r="E63" s="259"/>
      <c r="F63" s="259"/>
    </row>
    <row r="64" spans="1:6" x14ac:dyDescent="0.25">
      <c r="A64" s="135" t="s">
        <v>72</v>
      </c>
      <c r="B64" s="133" t="s">
        <v>42</v>
      </c>
      <c r="C64" s="259"/>
      <c r="D64" s="259">
        <v>1</v>
      </c>
      <c r="E64" s="259"/>
      <c r="F64" s="259"/>
    </row>
    <row r="65" spans="1:6" x14ac:dyDescent="0.25">
      <c r="A65" s="135" t="s">
        <v>726</v>
      </c>
      <c r="B65" s="133" t="s">
        <v>42</v>
      </c>
      <c r="C65" s="259">
        <v>4</v>
      </c>
      <c r="D65" s="259">
        <v>4</v>
      </c>
      <c r="E65" s="259"/>
      <c r="F65" s="259"/>
    </row>
    <row r="66" spans="1:6" ht="21.6" x14ac:dyDescent="0.25">
      <c r="A66" s="135" t="s">
        <v>56</v>
      </c>
      <c r="B66" s="133" t="s">
        <v>42</v>
      </c>
      <c r="C66" s="259"/>
      <c r="D66" s="259">
        <v>1</v>
      </c>
      <c r="E66" s="259"/>
      <c r="F66" s="259"/>
    </row>
    <row r="67" spans="1:6" ht="21.6" x14ac:dyDescent="0.25">
      <c r="A67" s="135" t="s">
        <v>729</v>
      </c>
      <c r="B67" s="133" t="s">
        <v>42</v>
      </c>
      <c r="C67" s="259">
        <v>1</v>
      </c>
      <c r="D67" s="259">
        <v>1</v>
      </c>
      <c r="E67" s="259"/>
      <c r="F67" s="259"/>
    </row>
    <row r="68" spans="1:6" x14ac:dyDescent="0.25">
      <c r="A68" s="635" t="s">
        <v>465</v>
      </c>
      <c r="B68" s="636"/>
      <c r="C68" s="457">
        <f>SUM(C62:C67)</f>
        <v>14</v>
      </c>
      <c r="D68" s="259">
        <f>SUM(D62:D67)</f>
        <v>18</v>
      </c>
      <c r="E68" s="259"/>
      <c r="F68" s="259"/>
    </row>
    <row r="69" spans="1:6" x14ac:dyDescent="0.25">
      <c r="A69" s="617" t="s">
        <v>54</v>
      </c>
      <c r="B69" s="617"/>
      <c r="C69" s="261">
        <v>1.18</v>
      </c>
      <c r="D69" s="265">
        <f>D68*C69</f>
        <v>21.24</v>
      </c>
      <c r="E69" s="259"/>
      <c r="F69" s="259"/>
    </row>
    <row r="71" spans="1:6" x14ac:dyDescent="0.25">
      <c r="A71" s="637" t="s">
        <v>534</v>
      </c>
      <c r="B71" s="637"/>
      <c r="C71" s="637"/>
      <c r="D71" s="637"/>
      <c r="E71" s="637"/>
      <c r="F71" s="637"/>
    </row>
    <row r="72" spans="1:6" x14ac:dyDescent="0.25">
      <c r="A72" s="638" t="s">
        <v>511</v>
      </c>
      <c r="B72" s="638"/>
      <c r="C72" s="638"/>
      <c r="D72" s="638"/>
      <c r="E72" s="638"/>
      <c r="F72" s="638"/>
    </row>
    <row r="73" spans="1:6" ht="12" thickBot="1" x14ac:dyDescent="0.3"/>
    <row r="74" spans="1:6" x14ac:dyDescent="0.25">
      <c r="A74" s="602" t="s">
        <v>30</v>
      </c>
      <c r="B74" s="605" t="s">
        <v>31</v>
      </c>
      <c r="C74" s="605" t="s">
        <v>512</v>
      </c>
      <c r="D74" s="608" t="s">
        <v>473</v>
      </c>
      <c r="E74" s="611" t="s">
        <v>474</v>
      </c>
      <c r="F74" s="614" t="s">
        <v>475</v>
      </c>
    </row>
    <row r="75" spans="1:6" x14ac:dyDescent="0.25">
      <c r="A75" s="603"/>
      <c r="B75" s="606"/>
      <c r="C75" s="606"/>
      <c r="D75" s="609"/>
      <c r="E75" s="612"/>
      <c r="F75" s="615"/>
    </row>
    <row r="76" spans="1:6" ht="12" thickBot="1" x14ac:dyDescent="0.3">
      <c r="A76" s="604"/>
      <c r="B76" s="607"/>
      <c r="C76" s="607"/>
      <c r="D76" s="610"/>
      <c r="E76" s="613"/>
      <c r="F76" s="616"/>
    </row>
    <row r="77" spans="1:6" ht="12" thickBot="1" x14ac:dyDescent="0.3">
      <c r="A77" s="268">
        <v>1</v>
      </c>
      <c r="B77" s="269">
        <v>2</v>
      </c>
      <c r="C77" s="273">
        <v>3</v>
      </c>
      <c r="D77" s="273">
        <v>4</v>
      </c>
      <c r="E77" s="273">
        <v>5</v>
      </c>
      <c r="F77" s="274">
        <v>6</v>
      </c>
    </row>
    <row r="78" spans="1:6" x14ac:dyDescent="0.25">
      <c r="A78" s="135" t="s">
        <v>57</v>
      </c>
      <c r="B78" s="133" t="s">
        <v>42</v>
      </c>
      <c r="C78" s="259"/>
      <c r="D78" s="259">
        <v>2</v>
      </c>
      <c r="E78" s="259"/>
      <c r="F78" s="259"/>
    </row>
    <row r="79" spans="1:6" x14ac:dyDescent="0.25">
      <c r="A79" s="135" t="s">
        <v>58</v>
      </c>
      <c r="B79" s="133" t="s">
        <v>42</v>
      </c>
      <c r="C79" s="259"/>
      <c r="D79" s="259">
        <v>4</v>
      </c>
      <c r="E79" s="259"/>
      <c r="F79" s="259"/>
    </row>
    <row r="80" spans="1:6" x14ac:dyDescent="0.25">
      <c r="A80" s="135" t="s">
        <v>24</v>
      </c>
      <c r="B80" s="133" t="s">
        <v>42</v>
      </c>
      <c r="C80" s="259"/>
      <c r="D80" s="259">
        <v>1</v>
      </c>
      <c r="E80" s="259"/>
      <c r="F80" s="259"/>
    </row>
    <row r="81" spans="1:6" x14ac:dyDescent="0.25">
      <c r="A81" s="135" t="s">
        <v>20</v>
      </c>
      <c r="B81" s="133" t="s">
        <v>42</v>
      </c>
      <c r="C81" s="259"/>
      <c r="D81" s="259">
        <v>1</v>
      </c>
      <c r="E81" s="259"/>
      <c r="F81" s="259"/>
    </row>
    <row r="82" spans="1:6" x14ac:dyDescent="0.25">
      <c r="A82" s="617" t="s">
        <v>465</v>
      </c>
      <c r="B82" s="617"/>
      <c r="C82" s="617"/>
      <c r="D82" s="259">
        <f>SUM(D78:D81)</f>
        <v>8</v>
      </c>
      <c r="E82" s="259"/>
      <c r="F82" s="259"/>
    </row>
    <row r="83" spans="1:6" x14ac:dyDescent="0.25">
      <c r="A83" s="617" t="s">
        <v>54</v>
      </c>
      <c r="B83" s="617"/>
      <c r="C83" s="261">
        <v>1.18</v>
      </c>
      <c r="D83" s="265">
        <f>D82*1.18</f>
        <v>9.44</v>
      </c>
      <c r="E83" s="259"/>
      <c r="F83" s="259"/>
    </row>
    <row r="85" spans="1:6" ht="28.5" customHeight="1" x14ac:dyDescent="0.3">
      <c r="A85" s="639" t="s">
        <v>535</v>
      </c>
      <c r="B85" s="639"/>
      <c r="C85" s="639"/>
      <c r="D85" s="275">
        <f>D51+D69+D83</f>
        <v>76.420842934879985</v>
      </c>
      <c r="E85" s="276"/>
      <c r="F85" s="275"/>
    </row>
    <row r="86" spans="1:6" x14ac:dyDescent="0.25">
      <c r="A86" s="277"/>
      <c r="B86" s="277"/>
      <c r="C86" s="277"/>
      <c r="D86" s="278"/>
    </row>
    <row r="87" spans="1:6" ht="34.5" customHeight="1" x14ac:dyDescent="0.35">
      <c r="A87" s="646" t="s">
        <v>874</v>
      </c>
      <c r="B87" s="646"/>
      <c r="C87" s="646"/>
      <c r="D87" s="646"/>
      <c r="E87" s="646"/>
      <c r="F87" s="646"/>
    </row>
    <row r="89" spans="1:6" ht="25.95" customHeight="1" x14ac:dyDescent="0.25">
      <c r="A89" s="640" t="s">
        <v>536</v>
      </c>
      <c r="B89" s="641"/>
      <c r="C89" s="641"/>
      <c r="D89" s="641"/>
      <c r="E89" s="642"/>
    </row>
    <row r="90" spans="1:6" ht="10.5" customHeight="1" x14ac:dyDescent="0.25">
      <c r="A90" s="643" t="s">
        <v>60</v>
      </c>
      <c r="B90" s="644"/>
      <c r="C90" s="644"/>
      <c r="D90" s="644"/>
      <c r="E90" s="645"/>
    </row>
    <row r="91" spans="1:6" ht="11.4" customHeight="1" x14ac:dyDescent="0.3">
      <c r="A91" s="444"/>
      <c r="B91" s="444"/>
      <c r="C91" s="444"/>
      <c r="D91" s="444"/>
      <c r="E91" s="444"/>
    </row>
    <row r="92" spans="1:6" ht="11.4" customHeight="1" x14ac:dyDescent="0.3">
      <c r="A92" s="444"/>
      <c r="B92" s="444"/>
      <c r="C92" s="444"/>
      <c r="D92" s="444"/>
      <c r="E92" s="444"/>
    </row>
    <row r="93" spans="1:6" ht="11.4" customHeight="1" x14ac:dyDescent="0.3">
      <c r="A93" s="444"/>
      <c r="B93" s="444"/>
      <c r="C93" s="444"/>
      <c r="D93" s="444"/>
      <c r="E93" s="444"/>
    </row>
    <row r="94" spans="1:6" ht="12" customHeight="1" x14ac:dyDescent="0.3">
      <c r="A94" s="444"/>
      <c r="B94" s="444"/>
      <c r="C94" s="444"/>
      <c r="D94" s="444"/>
      <c r="E94" s="444"/>
    </row>
    <row r="96" spans="1:6" ht="15.6" x14ac:dyDescent="0.3">
      <c r="A96" s="276" t="s">
        <v>547</v>
      </c>
      <c r="C96" s="276" t="s">
        <v>537</v>
      </c>
    </row>
  </sheetData>
  <mergeCells count="44">
    <mergeCell ref="A82:C82"/>
    <mergeCell ref="A83:B83"/>
    <mergeCell ref="A85:C85"/>
    <mergeCell ref="A89:E89"/>
    <mergeCell ref="A90:E90"/>
    <mergeCell ref="A87:F87"/>
    <mergeCell ref="A69:B69"/>
    <mergeCell ref="A71:F71"/>
    <mergeCell ref="A72:F72"/>
    <mergeCell ref="A74:A76"/>
    <mergeCell ref="B74:B76"/>
    <mergeCell ref="C74:C76"/>
    <mergeCell ref="D74:D76"/>
    <mergeCell ref="E74:E76"/>
    <mergeCell ref="F74:F76"/>
    <mergeCell ref="A68:B68"/>
    <mergeCell ref="A54:F54"/>
    <mergeCell ref="A55:F56"/>
    <mergeCell ref="A58:A60"/>
    <mergeCell ref="B58:B60"/>
    <mergeCell ref="C58:C60"/>
    <mergeCell ref="D58:D60"/>
    <mergeCell ref="E58:E60"/>
    <mergeCell ref="F58:F60"/>
    <mergeCell ref="A51:B51"/>
    <mergeCell ref="E9:E23"/>
    <mergeCell ref="A13:B13"/>
    <mergeCell ref="E24:E25"/>
    <mergeCell ref="E27:E31"/>
    <mergeCell ref="A32:E34"/>
    <mergeCell ref="E36:E38"/>
    <mergeCell ref="E39:E41"/>
    <mergeCell ref="E46:E47"/>
    <mergeCell ref="A49:C49"/>
    <mergeCell ref="A50:B50"/>
    <mergeCell ref="E43:E45"/>
    <mergeCell ref="A1:F1"/>
    <mergeCell ref="A2:F3"/>
    <mergeCell ref="A5:A7"/>
    <mergeCell ref="B5:B7"/>
    <mergeCell ref="C5:C7"/>
    <mergeCell ref="D5:D7"/>
    <mergeCell ref="E5:E7"/>
    <mergeCell ref="F5:F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7"/>
  <sheetViews>
    <sheetView topLeftCell="A49" workbookViewId="0">
      <selection activeCell="F47" sqref="F47:F49"/>
    </sheetView>
  </sheetViews>
  <sheetFormatPr defaultRowHeight="14.4" x14ac:dyDescent="0.3"/>
  <cols>
    <col min="1" max="1" width="7" customWidth="1"/>
    <col min="2" max="2" width="25.44140625" customWidth="1"/>
    <col min="3" max="3" width="10.44140625" customWidth="1"/>
    <col min="4" max="4" width="10.5546875" customWidth="1"/>
    <col min="5" max="5" width="11.77734375" customWidth="1"/>
    <col min="6" max="6" width="10.77734375" customWidth="1"/>
    <col min="7" max="7" width="10.21875" customWidth="1"/>
  </cols>
  <sheetData>
    <row r="1" spans="1:7" x14ac:dyDescent="0.3">
      <c r="A1" s="242"/>
      <c r="B1" s="243" t="s">
        <v>180</v>
      </c>
      <c r="C1" s="243" t="s">
        <v>740</v>
      </c>
      <c r="D1" s="242"/>
      <c r="E1" s="242"/>
      <c r="F1" s="647" t="s">
        <v>148</v>
      </c>
      <c r="G1" s="647"/>
    </row>
    <row r="2" spans="1:7" x14ac:dyDescent="0.3">
      <c r="A2" s="658" t="s">
        <v>147</v>
      </c>
      <c r="B2" s="658"/>
      <c r="C2" s="658"/>
      <c r="D2" s="658"/>
      <c r="E2" s="658"/>
      <c r="F2" s="658"/>
      <c r="G2" s="658"/>
    </row>
    <row r="3" spans="1:7" x14ac:dyDescent="0.3">
      <c r="A3" s="658"/>
      <c r="B3" s="658"/>
      <c r="C3" s="658"/>
      <c r="D3" s="658"/>
      <c r="E3" s="658"/>
      <c r="F3" s="658"/>
      <c r="G3" s="658"/>
    </row>
    <row r="4" spans="1:7" ht="39" customHeight="1" thickBot="1" x14ac:dyDescent="0.35">
      <c r="A4" s="659"/>
      <c r="B4" s="659"/>
      <c r="C4" s="659"/>
      <c r="D4" s="659"/>
      <c r="E4" s="659"/>
      <c r="F4" s="659"/>
      <c r="G4" s="659"/>
    </row>
    <row r="5" spans="1:7" ht="57" x14ac:dyDescent="0.3">
      <c r="A5" s="660" t="s">
        <v>73</v>
      </c>
      <c r="B5" s="662" t="s">
        <v>74</v>
      </c>
      <c r="C5" s="662" t="s">
        <v>31</v>
      </c>
      <c r="D5" s="664" t="s">
        <v>75</v>
      </c>
      <c r="E5" s="367" t="s">
        <v>76</v>
      </c>
      <c r="F5" s="367" t="s">
        <v>77</v>
      </c>
      <c r="G5" s="13" t="s">
        <v>78</v>
      </c>
    </row>
    <row r="6" spans="1:7" x14ac:dyDescent="0.3">
      <c r="A6" s="661"/>
      <c r="B6" s="663"/>
      <c r="C6" s="663"/>
      <c r="D6" s="665"/>
      <c r="E6" s="368" t="s">
        <v>79</v>
      </c>
      <c r="F6" s="368" t="s">
        <v>80</v>
      </c>
      <c r="G6" s="14" t="s">
        <v>81</v>
      </c>
    </row>
    <row r="7" spans="1:7" x14ac:dyDescent="0.3">
      <c r="A7" s="365"/>
      <c r="B7" s="366"/>
      <c r="C7" s="366"/>
      <c r="D7" s="368"/>
      <c r="E7" s="15" t="s">
        <v>82</v>
      </c>
      <c r="F7" s="15" t="s">
        <v>83</v>
      </c>
      <c r="G7" s="16" t="s">
        <v>84</v>
      </c>
    </row>
    <row r="8" spans="1:7" x14ac:dyDescent="0.3">
      <c r="A8" s="365">
        <v>1</v>
      </c>
      <c r="B8" s="366">
        <f>+A8+1</f>
        <v>2</v>
      </c>
      <c r="C8" s="366">
        <f>+B8+1</f>
        <v>3</v>
      </c>
      <c r="D8" s="368">
        <f>+C8+1</f>
        <v>4</v>
      </c>
      <c r="E8" s="368">
        <f>+D8+1</f>
        <v>5</v>
      </c>
      <c r="F8" s="368">
        <f>+E8+1</f>
        <v>6</v>
      </c>
      <c r="G8" s="14" t="s">
        <v>85</v>
      </c>
    </row>
    <row r="9" spans="1:7" x14ac:dyDescent="0.3">
      <c r="A9" s="651">
        <v>1</v>
      </c>
      <c r="B9" s="657" t="s">
        <v>86</v>
      </c>
      <c r="C9" s="657" t="s">
        <v>87</v>
      </c>
      <c r="D9" s="17">
        <v>1150</v>
      </c>
      <c r="E9" s="18"/>
      <c r="F9" s="18"/>
      <c r="G9" s="19">
        <f>E9*F9</f>
        <v>0</v>
      </c>
    </row>
    <row r="10" spans="1:7" x14ac:dyDescent="0.3">
      <c r="A10" s="651"/>
      <c r="B10" s="657"/>
      <c r="C10" s="657"/>
      <c r="D10" s="17">
        <v>750</v>
      </c>
      <c r="E10" s="18"/>
      <c r="F10" s="18"/>
      <c r="G10" s="19">
        <f>E10*F10</f>
        <v>0</v>
      </c>
    </row>
    <row r="11" spans="1:7" x14ac:dyDescent="0.3">
      <c r="A11" s="651"/>
      <c r="B11" s="657"/>
      <c r="C11" s="657"/>
      <c r="D11" s="17" t="s">
        <v>88</v>
      </c>
      <c r="E11" s="18"/>
      <c r="F11" s="18"/>
      <c r="G11" s="19">
        <f>E11*F11</f>
        <v>0</v>
      </c>
    </row>
    <row r="12" spans="1:7" x14ac:dyDescent="0.3">
      <c r="A12" s="651"/>
      <c r="B12" s="657"/>
      <c r="C12" s="657"/>
      <c r="D12" s="17">
        <v>330</v>
      </c>
      <c r="E12" s="18"/>
      <c r="F12" s="18"/>
      <c r="G12" s="19">
        <f>E12*F12</f>
        <v>0</v>
      </c>
    </row>
    <row r="13" spans="1:7" x14ac:dyDescent="0.3">
      <c r="A13" s="651"/>
      <c r="B13" s="657"/>
      <c r="C13" s="657"/>
      <c r="D13" s="17">
        <v>220</v>
      </c>
      <c r="E13" s="18"/>
      <c r="F13" s="18"/>
      <c r="G13" s="19">
        <f t="shared" ref="G13:G50" si="0">E13*F13</f>
        <v>0</v>
      </c>
    </row>
    <row r="14" spans="1:7" x14ac:dyDescent="0.3">
      <c r="A14" s="651"/>
      <c r="B14" s="657"/>
      <c r="C14" s="657"/>
      <c r="D14" s="17" t="s">
        <v>89</v>
      </c>
      <c r="E14" s="18"/>
      <c r="F14" s="18"/>
      <c r="G14" s="19">
        <f t="shared" si="0"/>
        <v>0</v>
      </c>
    </row>
    <row r="15" spans="1:7" x14ac:dyDescent="0.3">
      <c r="A15" s="651"/>
      <c r="B15" s="657"/>
      <c r="C15" s="657"/>
      <c r="D15" s="17">
        <v>35</v>
      </c>
      <c r="E15" s="18">
        <v>75</v>
      </c>
      <c r="F15" s="18">
        <v>1</v>
      </c>
      <c r="G15" s="19">
        <f t="shared" si="0"/>
        <v>75</v>
      </c>
    </row>
    <row r="16" spans="1:7" x14ac:dyDescent="0.3">
      <c r="A16" s="651">
        <v>2</v>
      </c>
      <c r="B16" s="657" t="s">
        <v>90</v>
      </c>
      <c r="C16" s="657" t="s">
        <v>91</v>
      </c>
      <c r="D16" s="17">
        <v>1150</v>
      </c>
      <c r="E16" s="18"/>
      <c r="F16" s="18"/>
      <c r="G16" s="19">
        <f t="shared" si="0"/>
        <v>0</v>
      </c>
    </row>
    <row r="17" spans="1:7" x14ac:dyDescent="0.3">
      <c r="A17" s="651"/>
      <c r="B17" s="657"/>
      <c r="C17" s="657"/>
      <c r="D17" s="17">
        <v>750</v>
      </c>
      <c r="E17" s="18"/>
      <c r="F17" s="18"/>
      <c r="G17" s="19">
        <f t="shared" si="0"/>
        <v>0</v>
      </c>
    </row>
    <row r="18" spans="1:7" x14ac:dyDescent="0.3">
      <c r="A18" s="651"/>
      <c r="B18" s="657"/>
      <c r="C18" s="657"/>
      <c r="D18" s="17" t="s">
        <v>88</v>
      </c>
      <c r="E18" s="18"/>
      <c r="F18" s="18"/>
      <c r="G18" s="19">
        <f t="shared" si="0"/>
        <v>0</v>
      </c>
    </row>
    <row r="19" spans="1:7" x14ac:dyDescent="0.3">
      <c r="A19" s="651"/>
      <c r="B19" s="657"/>
      <c r="C19" s="657"/>
      <c r="D19" s="17">
        <v>330</v>
      </c>
      <c r="E19" s="18"/>
      <c r="F19" s="18"/>
      <c r="G19" s="19">
        <f t="shared" si="0"/>
        <v>0</v>
      </c>
    </row>
    <row r="20" spans="1:7" x14ac:dyDescent="0.3">
      <c r="A20" s="651"/>
      <c r="B20" s="657"/>
      <c r="C20" s="657"/>
      <c r="D20" s="17">
        <v>220</v>
      </c>
      <c r="E20" s="18"/>
      <c r="F20" s="18"/>
      <c r="G20" s="19">
        <f t="shared" si="0"/>
        <v>0</v>
      </c>
    </row>
    <row r="21" spans="1:7" x14ac:dyDescent="0.3">
      <c r="A21" s="651"/>
      <c r="B21" s="657"/>
      <c r="C21" s="657"/>
      <c r="D21" s="17" t="s">
        <v>89</v>
      </c>
      <c r="E21" s="18"/>
      <c r="F21" s="18"/>
      <c r="G21" s="19">
        <f t="shared" si="0"/>
        <v>0</v>
      </c>
    </row>
    <row r="22" spans="1:7" x14ac:dyDescent="0.3">
      <c r="A22" s="651"/>
      <c r="B22" s="657"/>
      <c r="C22" s="657"/>
      <c r="D22" s="17">
        <v>35</v>
      </c>
      <c r="E22" s="18"/>
      <c r="F22" s="18"/>
      <c r="G22" s="19">
        <f t="shared" si="0"/>
        <v>0</v>
      </c>
    </row>
    <row r="23" spans="1:7" x14ac:dyDescent="0.3">
      <c r="A23" s="651"/>
      <c r="B23" s="657"/>
      <c r="C23" s="657"/>
      <c r="D23" s="20" t="s">
        <v>92</v>
      </c>
      <c r="E23" s="18">
        <v>1</v>
      </c>
      <c r="F23" s="18">
        <v>2</v>
      </c>
      <c r="G23" s="19">
        <f t="shared" si="0"/>
        <v>2</v>
      </c>
    </row>
    <row r="24" spans="1:7" x14ac:dyDescent="0.3">
      <c r="A24" s="651">
        <v>3</v>
      </c>
      <c r="B24" s="657" t="s">
        <v>93</v>
      </c>
      <c r="C24" s="657" t="s">
        <v>94</v>
      </c>
      <c r="D24" s="17">
        <v>1150</v>
      </c>
      <c r="E24" s="18"/>
      <c r="F24" s="18"/>
      <c r="G24" s="19">
        <f t="shared" si="0"/>
        <v>0</v>
      </c>
    </row>
    <row r="25" spans="1:7" x14ac:dyDescent="0.3">
      <c r="A25" s="651"/>
      <c r="B25" s="657"/>
      <c r="C25" s="657"/>
      <c r="D25" s="17">
        <v>750</v>
      </c>
      <c r="E25" s="18"/>
      <c r="F25" s="18"/>
      <c r="G25" s="19">
        <f t="shared" si="0"/>
        <v>0</v>
      </c>
    </row>
    <row r="26" spans="1:7" x14ac:dyDescent="0.3">
      <c r="A26" s="651"/>
      <c r="B26" s="657"/>
      <c r="C26" s="657"/>
      <c r="D26" s="17" t="s">
        <v>88</v>
      </c>
      <c r="E26" s="18"/>
      <c r="F26" s="18"/>
      <c r="G26" s="19">
        <f t="shared" si="0"/>
        <v>0</v>
      </c>
    </row>
    <row r="27" spans="1:7" x14ac:dyDescent="0.3">
      <c r="A27" s="651"/>
      <c r="B27" s="657"/>
      <c r="C27" s="657"/>
      <c r="D27" s="17">
        <v>330</v>
      </c>
      <c r="E27" s="18"/>
      <c r="F27" s="18"/>
      <c r="G27" s="19">
        <f t="shared" si="0"/>
        <v>0</v>
      </c>
    </row>
    <row r="28" spans="1:7" x14ac:dyDescent="0.3">
      <c r="A28" s="651"/>
      <c r="B28" s="657"/>
      <c r="C28" s="657"/>
      <c r="D28" s="17">
        <v>220</v>
      </c>
      <c r="E28" s="18"/>
      <c r="F28" s="18"/>
      <c r="G28" s="19">
        <f t="shared" si="0"/>
        <v>0</v>
      </c>
    </row>
    <row r="29" spans="1:7" x14ac:dyDescent="0.3">
      <c r="A29" s="651"/>
      <c r="B29" s="657"/>
      <c r="C29" s="657"/>
      <c r="D29" s="17" t="s">
        <v>89</v>
      </c>
      <c r="E29" s="18"/>
      <c r="F29" s="18"/>
      <c r="G29" s="19">
        <f t="shared" si="0"/>
        <v>0</v>
      </c>
    </row>
    <row r="30" spans="1:7" x14ac:dyDescent="0.3">
      <c r="A30" s="651"/>
      <c r="B30" s="657"/>
      <c r="C30" s="657"/>
      <c r="D30" s="17">
        <v>35</v>
      </c>
      <c r="E30" s="18"/>
      <c r="F30" s="18"/>
      <c r="G30" s="19">
        <f t="shared" si="0"/>
        <v>0</v>
      </c>
    </row>
    <row r="31" spans="1:7" x14ac:dyDescent="0.3">
      <c r="A31" s="651"/>
      <c r="B31" s="657"/>
      <c r="C31" s="657"/>
      <c r="D31" s="20" t="s">
        <v>92</v>
      </c>
      <c r="E31" s="18"/>
      <c r="F31" s="18"/>
      <c r="G31" s="19">
        <f t="shared" si="0"/>
        <v>0</v>
      </c>
    </row>
    <row r="32" spans="1:7" x14ac:dyDescent="0.3">
      <c r="A32" s="651">
        <v>4</v>
      </c>
      <c r="B32" s="657" t="s">
        <v>95</v>
      </c>
      <c r="C32" s="657" t="s">
        <v>96</v>
      </c>
      <c r="D32" s="17">
        <v>220</v>
      </c>
      <c r="E32" s="18"/>
      <c r="F32" s="18"/>
      <c r="G32" s="19">
        <f t="shared" si="0"/>
        <v>0</v>
      </c>
    </row>
    <row r="33" spans="1:7" x14ac:dyDescent="0.3">
      <c r="A33" s="651"/>
      <c r="B33" s="657"/>
      <c r="C33" s="657"/>
      <c r="D33" s="17" t="s">
        <v>89</v>
      </c>
      <c r="E33" s="18"/>
      <c r="F33" s="18"/>
      <c r="G33" s="19">
        <f t="shared" si="0"/>
        <v>0</v>
      </c>
    </row>
    <row r="34" spans="1:7" x14ac:dyDescent="0.3">
      <c r="A34" s="651"/>
      <c r="B34" s="657"/>
      <c r="C34" s="657"/>
      <c r="D34" s="17">
        <v>35</v>
      </c>
      <c r="E34" s="18">
        <v>6.4</v>
      </c>
      <c r="F34" s="18">
        <v>3</v>
      </c>
      <c r="G34" s="19">
        <f t="shared" si="0"/>
        <v>19.200000000000003</v>
      </c>
    </row>
    <row r="35" spans="1:7" x14ac:dyDescent="0.3">
      <c r="A35" s="651"/>
      <c r="B35" s="657"/>
      <c r="C35" s="657"/>
      <c r="D35" s="20" t="s">
        <v>92</v>
      </c>
      <c r="E35" s="18">
        <v>3.1</v>
      </c>
      <c r="F35" s="18">
        <v>41</v>
      </c>
      <c r="G35" s="19">
        <f t="shared" si="0"/>
        <v>127.10000000000001</v>
      </c>
    </row>
    <row r="36" spans="1:7" x14ac:dyDescent="0.3">
      <c r="A36" s="651">
        <v>5</v>
      </c>
      <c r="B36" s="657" t="s">
        <v>97</v>
      </c>
      <c r="C36" s="657" t="s">
        <v>91</v>
      </c>
      <c r="D36" s="17" t="s">
        <v>88</v>
      </c>
      <c r="E36" s="18"/>
      <c r="F36" s="18"/>
      <c r="G36" s="19">
        <f t="shared" si="0"/>
        <v>0</v>
      </c>
    </row>
    <row r="37" spans="1:7" x14ac:dyDescent="0.3">
      <c r="A37" s="651"/>
      <c r="B37" s="657"/>
      <c r="C37" s="657"/>
      <c r="D37" s="17">
        <v>330</v>
      </c>
      <c r="E37" s="18"/>
      <c r="F37" s="18"/>
      <c r="G37" s="19">
        <f t="shared" si="0"/>
        <v>0</v>
      </c>
    </row>
    <row r="38" spans="1:7" x14ac:dyDescent="0.3">
      <c r="A38" s="651"/>
      <c r="B38" s="657"/>
      <c r="C38" s="657"/>
      <c r="D38" s="17">
        <v>220</v>
      </c>
      <c r="E38" s="18"/>
      <c r="F38" s="18"/>
      <c r="G38" s="19">
        <f t="shared" si="0"/>
        <v>0</v>
      </c>
    </row>
    <row r="39" spans="1:7" x14ac:dyDescent="0.3">
      <c r="A39" s="651"/>
      <c r="B39" s="657"/>
      <c r="C39" s="657"/>
      <c r="D39" s="17" t="s">
        <v>89</v>
      </c>
      <c r="E39" s="18"/>
      <c r="F39" s="18"/>
      <c r="G39" s="19">
        <f t="shared" si="0"/>
        <v>0</v>
      </c>
    </row>
    <row r="40" spans="1:7" x14ac:dyDescent="0.3">
      <c r="A40" s="651"/>
      <c r="B40" s="657"/>
      <c r="C40" s="657"/>
      <c r="D40" s="17">
        <v>35</v>
      </c>
      <c r="E40" s="18">
        <v>4.7</v>
      </c>
      <c r="F40" s="18">
        <v>6</v>
      </c>
      <c r="G40" s="19">
        <f t="shared" si="0"/>
        <v>28.200000000000003</v>
      </c>
    </row>
    <row r="41" spans="1:7" ht="22.5" customHeight="1" x14ac:dyDescent="0.3">
      <c r="A41" s="363">
        <v>6</v>
      </c>
      <c r="B41" s="364" t="s">
        <v>98</v>
      </c>
      <c r="C41" s="364" t="s">
        <v>96</v>
      </c>
      <c r="D41" s="20" t="s">
        <v>92</v>
      </c>
      <c r="E41" s="18">
        <v>2.2999999999999998</v>
      </c>
      <c r="F41" s="18">
        <v>440</v>
      </c>
      <c r="G41" s="19">
        <f t="shared" si="0"/>
        <v>1011.9999999999999</v>
      </c>
    </row>
    <row r="42" spans="1:7" ht="31.5" customHeight="1" x14ac:dyDescent="0.3">
      <c r="A42" s="363">
        <v>7</v>
      </c>
      <c r="B42" s="364" t="s">
        <v>99</v>
      </c>
      <c r="C42" s="364" t="s">
        <v>96</v>
      </c>
      <c r="D42" s="20" t="s">
        <v>92</v>
      </c>
      <c r="E42" s="18"/>
      <c r="F42" s="18"/>
      <c r="G42" s="19">
        <f t="shared" si="0"/>
        <v>0</v>
      </c>
    </row>
    <row r="43" spans="1:7" ht="18" customHeight="1" x14ac:dyDescent="0.3">
      <c r="A43" s="363">
        <v>8</v>
      </c>
      <c r="B43" s="364" t="s">
        <v>100</v>
      </c>
      <c r="C43" s="364" t="s">
        <v>96</v>
      </c>
      <c r="D43" s="20" t="s">
        <v>92</v>
      </c>
      <c r="E43" s="18"/>
      <c r="F43" s="18"/>
      <c r="G43" s="19">
        <f t="shared" si="0"/>
        <v>0</v>
      </c>
    </row>
    <row r="44" spans="1:7" x14ac:dyDescent="0.3">
      <c r="A44" s="648">
        <v>9</v>
      </c>
      <c r="B44" s="649" t="s">
        <v>101</v>
      </c>
      <c r="C44" s="650" t="s">
        <v>102</v>
      </c>
      <c r="D44" s="17" t="s">
        <v>89</v>
      </c>
      <c r="E44" s="18"/>
      <c r="F44" s="18"/>
      <c r="G44" s="19">
        <f t="shared" si="0"/>
        <v>0</v>
      </c>
    </row>
    <row r="45" spans="1:7" x14ac:dyDescent="0.3">
      <c r="A45" s="648"/>
      <c r="B45" s="649"/>
      <c r="C45" s="650"/>
      <c r="D45" s="17">
        <v>35</v>
      </c>
      <c r="E45" s="18"/>
      <c r="F45" s="18"/>
      <c r="G45" s="19">
        <f t="shared" si="0"/>
        <v>0</v>
      </c>
    </row>
    <row r="46" spans="1:7" x14ac:dyDescent="0.3">
      <c r="A46" s="648"/>
      <c r="B46" s="649"/>
      <c r="C46" s="650"/>
      <c r="D46" s="20" t="s">
        <v>92</v>
      </c>
      <c r="E46" s="18"/>
      <c r="F46" s="18"/>
      <c r="G46" s="19">
        <f t="shared" si="0"/>
        <v>0</v>
      </c>
    </row>
    <row r="47" spans="1:7" ht="28.5" customHeight="1" x14ac:dyDescent="0.3">
      <c r="A47" s="363">
        <v>10</v>
      </c>
      <c r="B47" s="364" t="s">
        <v>103</v>
      </c>
      <c r="C47" s="364" t="s">
        <v>104</v>
      </c>
      <c r="D47" s="20" t="s">
        <v>92</v>
      </c>
      <c r="E47" s="18">
        <v>2.5</v>
      </c>
      <c r="F47" s="18">
        <v>8</v>
      </c>
      <c r="G47" s="19">
        <f t="shared" si="0"/>
        <v>20</v>
      </c>
    </row>
    <row r="48" spans="1:7" ht="38.25" customHeight="1" x14ac:dyDescent="0.3">
      <c r="A48" s="363">
        <v>11</v>
      </c>
      <c r="B48" s="364" t="s">
        <v>105</v>
      </c>
      <c r="C48" s="364" t="s">
        <v>106</v>
      </c>
      <c r="D48" s="20" t="s">
        <v>92</v>
      </c>
      <c r="E48" s="18">
        <v>2.2999999999999998</v>
      </c>
      <c r="F48" s="18">
        <v>65</v>
      </c>
      <c r="G48" s="19">
        <f t="shared" si="0"/>
        <v>149.5</v>
      </c>
    </row>
    <row r="49" spans="1:9" ht="29.25" customHeight="1" x14ac:dyDescent="0.3">
      <c r="A49" s="363">
        <v>12</v>
      </c>
      <c r="B49" s="364" t="s">
        <v>107</v>
      </c>
      <c r="C49" s="364" t="s">
        <v>106</v>
      </c>
      <c r="D49" s="20" t="s">
        <v>92</v>
      </c>
      <c r="E49" s="18">
        <v>3</v>
      </c>
      <c r="F49" s="18">
        <v>42</v>
      </c>
      <c r="G49" s="19">
        <f t="shared" si="0"/>
        <v>126</v>
      </c>
    </row>
    <row r="50" spans="1:9" ht="30" customHeight="1" x14ac:dyDescent="0.3">
      <c r="A50" s="363">
        <v>13</v>
      </c>
      <c r="B50" s="364" t="s">
        <v>108</v>
      </c>
      <c r="C50" s="364" t="s">
        <v>109</v>
      </c>
      <c r="D50" s="17">
        <v>35</v>
      </c>
      <c r="E50" s="18"/>
      <c r="F50" s="18"/>
      <c r="G50" s="19">
        <f t="shared" si="0"/>
        <v>0</v>
      </c>
    </row>
    <row r="51" spans="1:9" x14ac:dyDescent="0.3">
      <c r="A51" s="651" t="s">
        <v>110</v>
      </c>
      <c r="B51" s="653" t="s">
        <v>62</v>
      </c>
      <c r="C51" s="655"/>
      <c r="D51" s="17" t="s">
        <v>111</v>
      </c>
      <c r="E51" s="21"/>
      <c r="F51" s="21"/>
      <c r="G51" s="22">
        <f>G39+G38+G33+G32+G29+G28+G21+G20+G14+G13+G44</f>
        <v>0</v>
      </c>
    </row>
    <row r="52" spans="1:9" x14ac:dyDescent="0.3">
      <c r="A52" s="651"/>
      <c r="B52" s="653"/>
      <c r="C52" s="655"/>
      <c r="D52" s="17" t="s">
        <v>112</v>
      </c>
      <c r="E52" s="21"/>
      <c r="F52" s="21"/>
      <c r="G52" s="22">
        <f>G34+G40+G15</f>
        <v>122.4</v>
      </c>
    </row>
    <row r="53" spans="1:9" x14ac:dyDescent="0.3">
      <c r="A53" s="651"/>
      <c r="B53" s="653"/>
      <c r="C53" s="655"/>
      <c r="D53" s="17" t="s">
        <v>113</v>
      </c>
      <c r="E53" s="21"/>
      <c r="F53" s="21"/>
      <c r="G53" s="22">
        <f>G23+G35+G41+G47+G48+G49</f>
        <v>1436.6</v>
      </c>
      <c r="I53" s="244"/>
    </row>
    <row r="54" spans="1:9" ht="15" thickBot="1" x14ac:dyDescent="0.35">
      <c r="A54" s="652"/>
      <c r="B54" s="654"/>
      <c r="C54" s="656"/>
      <c r="D54" s="23" t="s">
        <v>114</v>
      </c>
      <c r="E54" s="24"/>
      <c r="F54" s="24"/>
      <c r="G54" s="25">
        <f>SUM(G9:G50) - G51-G52-G53</f>
        <v>0</v>
      </c>
    </row>
    <row r="56" spans="1:9" x14ac:dyDescent="0.3">
      <c r="B56" s="26"/>
    </row>
    <row r="57" spans="1:9" x14ac:dyDescent="0.3">
      <c r="A57" s="12" t="s">
        <v>741</v>
      </c>
      <c r="B57" s="151"/>
      <c r="C57" s="151"/>
      <c r="D57" s="151"/>
      <c r="E57" s="151"/>
      <c r="F57" s="151"/>
      <c r="G57" s="151"/>
      <c r="H57" s="12"/>
    </row>
    <row r="58" spans="1:9" x14ac:dyDescent="0.3">
      <c r="A58" s="12" t="s">
        <v>742</v>
      </c>
      <c r="B58" s="12"/>
      <c r="C58" s="12"/>
      <c r="D58" s="12"/>
      <c r="E58" s="12"/>
      <c r="F58" s="12"/>
      <c r="G58" s="12"/>
      <c r="H58" s="12"/>
    </row>
    <row r="59" spans="1:9" x14ac:dyDescent="0.3">
      <c r="A59" s="12"/>
      <c r="B59" s="12" t="s">
        <v>743</v>
      </c>
      <c r="C59" s="12"/>
      <c r="D59" s="12"/>
      <c r="E59" s="12"/>
      <c r="F59" s="12"/>
      <c r="G59" s="12"/>
      <c r="H59" s="12"/>
    </row>
    <row r="60" spans="1:9" x14ac:dyDescent="0.3">
      <c r="A60" s="12"/>
      <c r="B60" s="12" t="s">
        <v>744</v>
      </c>
      <c r="C60" s="12"/>
      <c r="D60" s="12"/>
      <c r="E60" s="12"/>
      <c r="F60" s="12"/>
      <c r="G60" s="12"/>
      <c r="H60" s="12"/>
    </row>
    <row r="61" spans="1:9" x14ac:dyDescent="0.3">
      <c r="A61" s="12"/>
      <c r="B61" s="12" t="s">
        <v>745</v>
      </c>
      <c r="C61" s="12"/>
      <c r="D61" s="12"/>
      <c r="E61" s="12"/>
      <c r="F61" s="12"/>
      <c r="G61" s="12"/>
      <c r="H61" s="12"/>
    </row>
    <row r="62" spans="1:9" x14ac:dyDescent="0.3">
      <c r="A62" s="12" t="s">
        <v>746</v>
      </c>
      <c r="B62" s="12"/>
      <c r="C62" s="12"/>
      <c r="D62" s="12"/>
      <c r="E62" s="12"/>
      <c r="F62" s="12"/>
      <c r="G62" s="12"/>
      <c r="H62" s="12"/>
    </row>
    <row r="63" spans="1:9" x14ac:dyDescent="0.3">
      <c r="A63" s="12" t="s">
        <v>747</v>
      </c>
      <c r="B63" s="12"/>
      <c r="C63" s="12"/>
      <c r="D63" s="12"/>
      <c r="E63" s="12"/>
      <c r="F63" s="12"/>
      <c r="G63" s="12"/>
      <c r="H63" s="12"/>
    </row>
    <row r="64" spans="1:9" x14ac:dyDescent="0.3">
      <c r="A64" s="12" t="s">
        <v>748</v>
      </c>
      <c r="B64" s="12"/>
      <c r="C64" s="12"/>
      <c r="D64" s="12"/>
      <c r="E64" s="12"/>
      <c r="F64" s="12"/>
      <c r="G64" s="12"/>
      <c r="H64" s="12"/>
    </row>
    <row r="65" spans="1:8" x14ac:dyDescent="0.3">
      <c r="A65" s="12"/>
      <c r="B65" s="12"/>
      <c r="C65" s="12"/>
      <c r="D65" s="12"/>
      <c r="E65" s="12"/>
      <c r="F65" s="12"/>
      <c r="G65" s="12"/>
      <c r="H65" s="12"/>
    </row>
    <row r="66" spans="1:8" x14ac:dyDescent="0.3">
      <c r="A66" s="12" t="s">
        <v>749</v>
      </c>
      <c r="B66" s="12"/>
      <c r="C66" s="12"/>
      <c r="D66" s="12"/>
      <c r="E66" s="12"/>
      <c r="F66" s="12"/>
      <c r="G66" s="12"/>
      <c r="H66" s="12"/>
    </row>
    <row r="67" spans="1:8" x14ac:dyDescent="0.3">
      <c r="A67" s="374" t="s">
        <v>750</v>
      </c>
      <c r="B67" s="12"/>
      <c r="C67" s="12"/>
      <c r="D67" s="12"/>
      <c r="E67" s="12"/>
      <c r="F67" s="12"/>
      <c r="G67" s="12"/>
      <c r="H67" s="12"/>
    </row>
  </sheetData>
  <protectedRanges>
    <protectedRange sqref="E9:F54" name="Диапазон1_1"/>
  </protectedRanges>
  <mergeCells count="27"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0"/>
  <sheetViews>
    <sheetView topLeftCell="A28" workbookViewId="0">
      <selection activeCell="H48" sqref="H48"/>
    </sheetView>
  </sheetViews>
  <sheetFormatPr defaultColWidth="8.77734375" defaultRowHeight="13.8" x14ac:dyDescent="0.3"/>
  <cols>
    <col min="1" max="1" width="7" style="12" customWidth="1"/>
    <col min="2" max="2" width="9.5546875" style="12" customWidth="1"/>
    <col min="3" max="3" width="8" style="12" customWidth="1"/>
    <col min="4" max="4" width="8.77734375" style="12" customWidth="1"/>
    <col min="5" max="5" width="20.77734375" style="12" customWidth="1"/>
    <col min="6" max="6" width="10.21875" style="12" customWidth="1"/>
    <col min="7" max="7" width="11.5546875" style="12" customWidth="1"/>
    <col min="8" max="16384" width="8.77734375" style="12"/>
  </cols>
  <sheetData>
    <row r="1" spans="1:8" x14ac:dyDescent="0.3">
      <c r="A1" s="245"/>
      <c r="B1" s="246" t="s">
        <v>180</v>
      </c>
      <c r="C1" s="245"/>
      <c r="D1" s="245"/>
      <c r="E1" s="246" t="s">
        <v>720</v>
      </c>
      <c r="F1" s="245"/>
      <c r="G1" s="245" t="s">
        <v>149</v>
      </c>
      <c r="H1" s="245"/>
    </row>
    <row r="2" spans="1:8" x14ac:dyDescent="0.3">
      <c r="A2" s="658" t="s">
        <v>146</v>
      </c>
      <c r="B2" s="658"/>
      <c r="C2" s="658"/>
      <c r="D2" s="658"/>
      <c r="E2" s="658"/>
      <c r="F2" s="658"/>
      <c r="G2" s="658"/>
      <c r="H2" s="658"/>
    </row>
    <row r="3" spans="1:8" x14ac:dyDescent="0.3">
      <c r="A3" s="658"/>
      <c r="B3" s="658"/>
      <c r="C3" s="658"/>
      <c r="D3" s="658"/>
      <c r="E3" s="658"/>
      <c r="F3" s="658"/>
      <c r="G3" s="658"/>
      <c r="H3" s="658"/>
    </row>
    <row r="4" spans="1:8" x14ac:dyDescent="0.3">
      <c r="A4" s="658"/>
      <c r="B4" s="658"/>
      <c r="C4" s="658"/>
      <c r="D4" s="658"/>
      <c r="E4" s="658"/>
      <c r="F4" s="658"/>
      <c r="G4" s="658"/>
      <c r="H4" s="658"/>
    </row>
    <row r="5" spans="1:8" ht="24.6" customHeight="1" thickBot="1" x14ac:dyDescent="0.35">
      <c r="A5" s="659"/>
      <c r="B5" s="659"/>
      <c r="C5" s="659"/>
      <c r="D5" s="659"/>
      <c r="E5" s="659"/>
      <c r="F5" s="659"/>
      <c r="G5" s="659"/>
      <c r="H5" s="659"/>
    </row>
    <row r="6" spans="1:8" ht="115.2" customHeight="1" x14ac:dyDescent="0.3">
      <c r="A6" s="668" t="s">
        <v>115</v>
      </c>
      <c r="B6" s="670" t="s">
        <v>75</v>
      </c>
      <c r="C6" s="136"/>
      <c r="D6" s="670" t="s">
        <v>116</v>
      </c>
      <c r="E6" s="670" t="s">
        <v>117</v>
      </c>
      <c r="F6" s="372" t="s">
        <v>118</v>
      </c>
      <c r="G6" s="372" t="s">
        <v>119</v>
      </c>
      <c r="H6" s="137" t="s">
        <v>78</v>
      </c>
    </row>
    <row r="7" spans="1:8" ht="30.6" customHeight="1" x14ac:dyDescent="0.3">
      <c r="A7" s="669"/>
      <c r="B7" s="671"/>
      <c r="C7" s="138"/>
      <c r="D7" s="671"/>
      <c r="E7" s="671"/>
      <c r="F7" s="373" t="s">
        <v>120</v>
      </c>
      <c r="G7" s="373" t="s">
        <v>32</v>
      </c>
      <c r="H7" s="139" t="s">
        <v>81</v>
      </c>
    </row>
    <row r="8" spans="1:8" x14ac:dyDescent="0.3">
      <c r="A8" s="371"/>
      <c r="B8" s="373"/>
      <c r="C8" s="138"/>
      <c r="D8" s="373"/>
      <c r="E8" s="373"/>
      <c r="F8" s="373" t="s">
        <v>82</v>
      </c>
      <c r="G8" s="373" t="s">
        <v>83</v>
      </c>
      <c r="H8" s="139" t="s">
        <v>84</v>
      </c>
    </row>
    <row r="9" spans="1:8" ht="26.4" x14ac:dyDescent="0.3">
      <c r="A9" s="140">
        <v>1</v>
      </c>
      <c r="B9" s="373">
        <f>+A9+1</f>
        <v>2</v>
      </c>
      <c r="C9" s="138"/>
      <c r="D9" s="373">
        <f>+B9+1</f>
        <v>3</v>
      </c>
      <c r="E9" s="373">
        <f>+D9+1</f>
        <v>4</v>
      </c>
      <c r="F9" s="373">
        <f>+E9+1</f>
        <v>5</v>
      </c>
      <c r="G9" s="373">
        <f>+F9+1</f>
        <v>6</v>
      </c>
      <c r="H9" s="139" t="s">
        <v>121</v>
      </c>
    </row>
    <row r="10" spans="1:8" x14ac:dyDescent="0.3">
      <c r="A10" s="666" t="s">
        <v>122</v>
      </c>
      <c r="B10" s="370">
        <v>1150</v>
      </c>
      <c r="C10" s="370">
        <v>1150</v>
      </c>
      <c r="D10" s="370" t="s">
        <v>123</v>
      </c>
      <c r="E10" s="370" t="s">
        <v>124</v>
      </c>
      <c r="F10" s="141"/>
      <c r="G10" s="141"/>
      <c r="H10" s="142">
        <f t="shared" ref="H10:H29" si="0">F10*G10/100</f>
        <v>0</v>
      </c>
    </row>
    <row r="11" spans="1:8" x14ac:dyDescent="0.3">
      <c r="A11" s="666"/>
      <c r="B11" s="370">
        <v>750</v>
      </c>
      <c r="C11" s="370">
        <v>750</v>
      </c>
      <c r="D11" s="370">
        <v>1</v>
      </c>
      <c r="E11" s="370" t="s">
        <v>124</v>
      </c>
      <c r="F11" s="141"/>
      <c r="G11" s="141"/>
      <c r="H11" s="142">
        <f t="shared" si="0"/>
        <v>0</v>
      </c>
    </row>
    <row r="12" spans="1:8" x14ac:dyDescent="0.3">
      <c r="A12" s="666"/>
      <c r="B12" s="667" t="s">
        <v>88</v>
      </c>
      <c r="C12" s="370" t="s">
        <v>125</v>
      </c>
      <c r="D12" s="667">
        <v>1</v>
      </c>
      <c r="E12" s="370" t="s">
        <v>124</v>
      </c>
      <c r="F12" s="141"/>
      <c r="G12" s="141"/>
      <c r="H12" s="142">
        <f t="shared" si="0"/>
        <v>0</v>
      </c>
    </row>
    <row r="13" spans="1:8" x14ac:dyDescent="0.3">
      <c r="A13" s="666"/>
      <c r="B13" s="667"/>
      <c r="C13" s="370" t="s">
        <v>125</v>
      </c>
      <c r="D13" s="667"/>
      <c r="E13" s="370" t="s">
        <v>126</v>
      </c>
      <c r="F13" s="141"/>
      <c r="G13" s="141"/>
      <c r="H13" s="142">
        <f t="shared" si="0"/>
        <v>0</v>
      </c>
    </row>
    <row r="14" spans="1:8" x14ac:dyDescent="0.3">
      <c r="A14" s="666"/>
      <c r="B14" s="667">
        <v>330</v>
      </c>
      <c r="C14" s="370">
        <v>330</v>
      </c>
      <c r="D14" s="667">
        <v>1</v>
      </c>
      <c r="E14" s="370" t="s">
        <v>124</v>
      </c>
      <c r="F14" s="141"/>
      <c r="G14" s="141"/>
      <c r="H14" s="142">
        <f t="shared" si="0"/>
        <v>0</v>
      </c>
    </row>
    <row r="15" spans="1:8" x14ac:dyDescent="0.3">
      <c r="A15" s="666"/>
      <c r="B15" s="667"/>
      <c r="C15" s="370">
        <v>330</v>
      </c>
      <c r="D15" s="667"/>
      <c r="E15" s="370" t="s">
        <v>126</v>
      </c>
      <c r="F15" s="141"/>
      <c r="G15" s="141"/>
      <c r="H15" s="142">
        <f t="shared" si="0"/>
        <v>0</v>
      </c>
    </row>
    <row r="16" spans="1:8" x14ac:dyDescent="0.3">
      <c r="A16" s="666"/>
      <c r="B16" s="667"/>
      <c r="C16" s="370">
        <v>330</v>
      </c>
      <c r="D16" s="667">
        <v>2</v>
      </c>
      <c r="E16" s="370" t="s">
        <v>124</v>
      </c>
      <c r="F16" s="141"/>
      <c r="G16" s="141"/>
      <c r="H16" s="142">
        <f t="shared" si="0"/>
        <v>0</v>
      </c>
    </row>
    <row r="17" spans="1:8" x14ac:dyDescent="0.3">
      <c r="A17" s="666"/>
      <c r="B17" s="667"/>
      <c r="C17" s="370">
        <v>330</v>
      </c>
      <c r="D17" s="667"/>
      <c r="E17" s="370" t="s">
        <v>126</v>
      </c>
      <c r="F17" s="141"/>
      <c r="G17" s="141"/>
      <c r="H17" s="142">
        <f t="shared" si="0"/>
        <v>0</v>
      </c>
    </row>
    <row r="18" spans="1:8" x14ac:dyDescent="0.3">
      <c r="A18" s="666"/>
      <c r="B18" s="667">
        <v>220</v>
      </c>
      <c r="C18" s="370">
        <v>220</v>
      </c>
      <c r="D18" s="667">
        <v>1</v>
      </c>
      <c r="E18" s="370" t="s">
        <v>127</v>
      </c>
      <c r="F18" s="141"/>
      <c r="G18" s="141"/>
      <c r="H18" s="142">
        <f t="shared" si="0"/>
        <v>0</v>
      </c>
    </row>
    <row r="19" spans="1:8" x14ac:dyDescent="0.3">
      <c r="A19" s="666"/>
      <c r="B19" s="667"/>
      <c r="C19" s="370">
        <v>220</v>
      </c>
      <c r="D19" s="667"/>
      <c r="E19" s="370" t="s">
        <v>124</v>
      </c>
      <c r="F19" s="141"/>
      <c r="G19" s="141"/>
      <c r="H19" s="142">
        <f t="shared" si="0"/>
        <v>0</v>
      </c>
    </row>
    <row r="20" spans="1:8" x14ac:dyDescent="0.3">
      <c r="A20" s="666"/>
      <c r="B20" s="667"/>
      <c r="C20" s="370">
        <v>220</v>
      </c>
      <c r="D20" s="667"/>
      <c r="E20" s="370" t="s">
        <v>126</v>
      </c>
      <c r="F20" s="141"/>
      <c r="G20" s="141"/>
      <c r="H20" s="142">
        <f t="shared" si="0"/>
        <v>0</v>
      </c>
    </row>
    <row r="21" spans="1:8" x14ac:dyDescent="0.3">
      <c r="A21" s="666"/>
      <c r="B21" s="667"/>
      <c r="C21" s="370">
        <v>220</v>
      </c>
      <c r="D21" s="667">
        <v>2</v>
      </c>
      <c r="E21" s="370" t="s">
        <v>124</v>
      </c>
      <c r="F21" s="141"/>
      <c r="G21" s="141"/>
      <c r="H21" s="142">
        <f t="shared" si="0"/>
        <v>0</v>
      </c>
    </row>
    <row r="22" spans="1:8" x14ac:dyDescent="0.3">
      <c r="A22" s="666"/>
      <c r="B22" s="667"/>
      <c r="C22" s="370">
        <v>220</v>
      </c>
      <c r="D22" s="667"/>
      <c r="E22" s="370" t="s">
        <v>126</v>
      </c>
      <c r="F22" s="141"/>
      <c r="G22" s="141"/>
      <c r="H22" s="142">
        <f t="shared" si="0"/>
        <v>0</v>
      </c>
    </row>
    <row r="23" spans="1:8" x14ac:dyDescent="0.3">
      <c r="A23" s="666"/>
      <c r="B23" s="667" t="s">
        <v>89</v>
      </c>
      <c r="C23" s="370" t="s">
        <v>128</v>
      </c>
      <c r="D23" s="667">
        <v>1</v>
      </c>
      <c r="E23" s="370" t="s">
        <v>127</v>
      </c>
      <c r="F23" s="141"/>
      <c r="G23" s="141"/>
      <c r="H23" s="142">
        <f t="shared" si="0"/>
        <v>0</v>
      </c>
    </row>
    <row r="24" spans="1:8" x14ac:dyDescent="0.3">
      <c r="A24" s="666"/>
      <c r="B24" s="667"/>
      <c r="C24" s="370" t="s">
        <v>128</v>
      </c>
      <c r="D24" s="667"/>
      <c r="E24" s="370" t="s">
        <v>124</v>
      </c>
      <c r="F24" s="141"/>
      <c r="G24" s="141"/>
      <c r="H24" s="142">
        <f t="shared" si="0"/>
        <v>0</v>
      </c>
    </row>
    <row r="25" spans="1:8" x14ac:dyDescent="0.3">
      <c r="A25" s="666"/>
      <c r="B25" s="667"/>
      <c r="C25" s="370" t="s">
        <v>128</v>
      </c>
      <c r="D25" s="667"/>
      <c r="E25" s="370" t="s">
        <v>126</v>
      </c>
      <c r="F25" s="141"/>
      <c r="G25" s="141"/>
      <c r="H25" s="142">
        <f t="shared" si="0"/>
        <v>0</v>
      </c>
    </row>
    <row r="26" spans="1:8" x14ac:dyDescent="0.3">
      <c r="A26" s="666"/>
      <c r="B26" s="667"/>
      <c r="C26" s="370" t="s">
        <v>128</v>
      </c>
      <c r="D26" s="667">
        <v>2</v>
      </c>
      <c r="E26" s="370" t="s">
        <v>124</v>
      </c>
      <c r="F26" s="141"/>
      <c r="G26" s="141"/>
      <c r="H26" s="142">
        <f t="shared" si="0"/>
        <v>0</v>
      </c>
    </row>
    <row r="27" spans="1:8" x14ac:dyDescent="0.3">
      <c r="A27" s="666"/>
      <c r="B27" s="667"/>
      <c r="C27" s="370" t="s">
        <v>128</v>
      </c>
      <c r="D27" s="667"/>
      <c r="E27" s="370" t="s">
        <v>126</v>
      </c>
      <c r="F27" s="141"/>
      <c r="G27" s="141"/>
      <c r="H27" s="142">
        <f t="shared" si="0"/>
        <v>0</v>
      </c>
    </row>
    <row r="28" spans="1:8" x14ac:dyDescent="0.3">
      <c r="A28" s="666" t="s">
        <v>129</v>
      </c>
      <c r="B28" s="370">
        <v>220</v>
      </c>
      <c r="C28" s="370">
        <v>220</v>
      </c>
      <c r="D28" s="370" t="s">
        <v>123</v>
      </c>
      <c r="E28" s="370" t="s">
        <v>123</v>
      </c>
      <c r="F28" s="141"/>
      <c r="G28" s="141"/>
      <c r="H28" s="142">
        <f t="shared" si="0"/>
        <v>0</v>
      </c>
    </row>
    <row r="29" spans="1:8" x14ac:dyDescent="0.3">
      <c r="A29" s="666"/>
      <c r="B29" s="370">
        <v>110</v>
      </c>
      <c r="C29" s="370">
        <v>110</v>
      </c>
      <c r="D29" s="370" t="s">
        <v>123</v>
      </c>
      <c r="E29" s="370" t="s">
        <v>123</v>
      </c>
      <c r="F29" s="141"/>
      <c r="G29" s="141"/>
      <c r="H29" s="142">
        <f t="shared" si="0"/>
        <v>0</v>
      </c>
    </row>
    <row r="30" spans="1:8" x14ac:dyDescent="0.3">
      <c r="A30" s="369" t="s">
        <v>130</v>
      </c>
      <c r="B30" s="370"/>
      <c r="C30" s="370"/>
      <c r="D30" s="370"/>
      <c r="E30" s="370"/>
      <c r="F30" s="143"/>
      <c r="G30" s="143"/>
      <c r="H30" s="144">
        <f>SUM(H18:H29)</f>
        <v>0</v>
      </c>
    </row>
    <row r="31" spans="1:8" x14ac:dyDescent="0.3">
      <c r="A31" s="666" t="s">
        <v>122</v>
      </c>
      <c r="B31" s="667">
        <v>35</v>
      </c>
      <c r="C31" s="370">
        <v>35</v>
      </c>
      <c r="D31" s="667">
        <v>1</v>
      </c>
      <c r="E31" s="370" t="s">
        <v>127</v>
      </c>
      <c r="F31" s="145"/>
      <c r="G31" s="145"/>
      <c r="H31" s="142">
        <f t="shared" ref="H31:H40" si="1">F31*G31/100</f>
        <v>0</v>
      </c>
    </row>
    <row r="32" spans="1:8" x14ac:dyDescent="0.3">
      <c r="A32" s="666"/>
      <c r="B32" s="667"/>
      <c r="C32" s="370">
        <v>35</v>
      </c>
      <c r="D32" s="667"/>
      <c r="E32" s="370" t="s">
        <v>124</v>
      </c>
      <c r="F32" s="145">
        <v>140</v>
      </c>
      <c r="G32" s="145">
        <v>16.309999999999999</v>
      </c>
      <c r="H32" s="142">
        <f t="shared" si="1"/>
        <v>22.833999999999996</v>
      </c>
    </row>
    <row r="33" spans="1:8" x14ac:dyDescent="0.3">
      <c r="A33" s="666"/>
      <c r="B33" s="667"/>
      <c r="C33" s="370">
        <v>35</v>
      </c>
      <c r="D33" s="667"/>
      <c r="E33" s="370" t="s">
        <v>126</v>
      </c>
      <c r="F33" s="145">
        <v>120</v>
      </c>
      <c r="G33" s="145">
        <v>24.37</v>
      </c>
      <c r="H33" s="142">
        <f t="shared" si="1"/>
        <v>29.244</v>
      </c>
    </row>
    <row r="34" spans="1:8" x14ac:dyDescent="0.3">
      <c r="A34" s="666"/>
      <c r="B34" s="667"/>
      <c r="C34" s="370">
        <v>35</v>
      </c>
      <c r="D34" s="667">
        <v>2</v>
      </c>
      <c r="E34" s="370" t="s">
        <v>124</v>
      </c>
      <c r="F34" s="145"/>
      <c r="G34" s="145"/>
      <c r="H34" s="142"/>
    </row>
    <row r="35" spans="1:8" x14ac:dyDescent="0.3">
      <c r="A35" s="666"/>
      <c r="B35" s="667"/>
      <c r="C35" s="370">
        <v>35</v>
      </c>
      <c r="D35" s="667"/>
      <c r="E35" s="370" t="s">
        <v>126</v>
      </c>
      <c r="F35" s="145"/>
      <c r="G35" s="145"/>
      <c r="H35" s="142"/>
    </row>
    <row r="36" spans="1:8" x14ac:dyDescent="0.3">
      <c r="A36" s="666"/>
      <c r="B36" s="667" t="s">
        <v>131</v>
      </c>
      <c r="C36" s="370" t="s">
        <v>132</v>
      </c>
      <c r="D36" s="667" t="s">
        <v>123</v>
      </c>
      <c r="E36" s="370" t="s">
        <v>127</v>
      </c>
      <c r="F36" s="145">
        <v>160</v>
      </c>
      <c r="G36" s="146">
        <v>2.1800000000000002</v>
      </c>
      <c r="H36" s="142">
        <f t="shared" si="1"/>
        <v>3.488</v>
      </c>
    </row>
    <row r="37" spans="1:8" x14ac:dyDescent="0.3">
      <c r="A37" s="666"/>
      <c r="B37" s="667"/>
      <c r="C37" s="370" t="s">
        <v>132</v>
      </c>
      <c r="D37" s="667"/>
      <c r="E37" s="370" t="s">
        <v>133</v>
      </c>
      <c r="F37" s="145">
        <v>140</v>
      </c>
      <c r="G37" s="145">
        <v>52.68</v>
      </c>
      <c r="H37" s="142">
        <f t="shared" si="1"/>
        <v>73.751999999999995</v>
      </c>
    </row>
    <row r="38" spans="1:8" x14ac:dyDescent="0.3">
      <c r="A38" s="666"/>
      <c r="B38" s="667"/>
      <c r="C38" s="370" t="s">
        <v>132</v>
      </c>
      <c r="D38" s="667"/>
      <c r="E38" s="370" t="s">
        <v>134</v>
      </c>
      <c r="F38" s="145">
        <v>110</v>
      </c>
      <c r="G38" s="145">
        <v>20.12</v>
      </c>
      <c r="H38" s="142">
        <f t="shared" si="1"/>
        <v>22.132000000000001</v>
      </c>
    </row>
    <row r="39" spans="1:8" x14ac:dyDescent="0.3">
      <c r="A39" s="666" t="s">
        <v>129</v>
      </c>
      <c r="B39" s="370" t="s">
        <v>135</v>
      </c>
      <c r="C39" s="370" t="s">
        <v>136</v>
      </c>
      <c r="D39" s="370" t="s">
        <v>123</v>
      </c>
      <c r="E39" s="370" t="s">
        <v>123</v>
      </c>
      <c r="F39" s="145"/>
      <c r="G39" s="145"/>
      <c r="H39" s="142">
        <f t="shared" si="1"/>
        <v>0</v>
      </c>
    </row>
    <row r="40" spans="1:8" x14ac:dyDescent="0.3">
      <c r="A40" s="666"/>
      <c r="B40" s="370" t="s">
        <v>137</v>
      </c>
      <c r="C40" s="370" t="s">
        <v>138</v>
      </c>
      <c r="D40" s="370" t="s">
        <v>123</v>
      </c>
      <c r="E40" s="370" t="s">
        <v>123</v>
      </c>
      <c r="F40" s="145">
        <v>350</v>
      </c>
      <c r="G40" s="146">
        <v>23.21</v>
      </c>
      <c r="H40" s="142">
        <f t="shared" si="1"/>
        <v>81.234999999999999</v>
      </c>
    </row>
    <row r="41" spans="1:8" x14ac:dyDescent="0.3">
      <c r="A41" s="369" t="s">
        <v>139</v>
      </c>
      <c r="B41" s="370"/>
      <c r="C41" s="370"/>
      <c r="D41" s="370"/>
      <c r="E41" s="370"/>
      <c r="F41" s="143"/>
      <c r="G41" s="143"/>
      <c r="H41" s="144">
        <f>H32+H33</f>
        <v>52.077999999999996</v>
      </c>
    </row>
    <row r="42" spans="1:8" x14ac:dyDescent="0.3">
      <c r="A42" s="369" t="s">
        <v>140</v>
      </c>
      <c r="B42" s="370"/>
      <c r="C42" s="370"/>
      <c r="D42" s="370"/>
      <c r="E42" s="370"/>
      <c r="F42" s="143"/>
      <c r="G42" s="143"/>
      <c r="H42" s="375">
        <v>180.6</v>
      </c>
    </row>
    <row r="43" spans="1:8" x14ac:dyDescent="0.3">
      <c r="A43" s="666" t="s">
        <v>122</v>
      </c>
      <c r="B43" s="667" t="s">
        <v>141</v>
      </c>
      <c r="C43" s="370" t="s">
        <v>142</v>
      </c>
      <c r="D43" s="667" t="s">
        <v>123</v>
      </c>
      <c r="E43" s="370" t="s">
        <v>127</v>
      </c>
      <c r="F43" s="145">
        <v>260</v>
      </c>
      <c r="G43" s="146">
        <v>6.86</v>
      </c>
      <c r="H43" s="142">
        <f>F43*G43/100</f>
        <v>17.836000000000002</v>
      </c>
    </row>
    <row r="44" spans="1:8" x14ac:dyDescent="0.3">
      <c r="A44" s="666"/>
      <c r="B44" s="667"/>
      <c r="C44" s="370" t="s">
        <v>142</v>
      </c>
      <c r="D44" s="667"/>
      <c r="E44" s="370" t="s">
        <v>133</v>
      </c>
      <c r="F44" s="145">
        <v>220</v>
      </c>
      <c r="G44" s="145">
        <v>137.37</v>
      </c>
      <c r="H44" s="142">
        <f>F44*G44/100</f>
        <v>302.214</v>
      </c>
    </row>
    <row r="45" spans="1:8" x14ac:dyDescent="0.3">
      <c r="A45" s="666"/>
      <c r="B45" s="667"/>
      <c r="C45" s="370" t="s">
        <v>142</v>
      </c>
      <c r="D45" s="667"/>
      <c r="E45" s="370" t="s">
        <v>134</v>
      </c>
      <c r="F45" s="145">
        <v>150</v>
      </c>
      <c r="G45" s="145">
        <v>8.32</v>
      </c>
      <c r="H45" s="142">
        <f>F45*G45/100</f>
        <v>12.48</v>
      </c>
    </row>
    <row r="46" spans="1:8" x14ac:dyDescent="0.3">
      <c r="A46" s="369" t="s">
        <v>129</v>
      </c>
      <c r="B46" s="370" t="s">
        <v>143</v>
      </c>
      <c r="C46" s="370" t="s">
        <v>144</v>
      </c>
      <c r="D46" s="370" t="s">
        <v>123</v>
      </c>
      <c r="E46" s="370" t="s">
        <v>123</v>
      </c>
      <c r="F46" s="145">
        <v>270</v>
      </c>
      <c r="G46" s="146">
        <v>24.41</v>
      </c>
      <c r="H46" s="142">
        <f>F46*G46/100</f>
        <v>65.906999999999996</v>
      </c>
    </row>
    <row r="47" spans="1:8" ht="14.4" thickBot="1" x14ac:dyDescent="0.35">
      <c r="A47" s="147" t="s">
        <v>145</v>
      </c>
      <c r="B47" s="148"/>
      <c r="C47" s="148"/>
      <c r="D47" s="148"/>
      <c r="E47" s="148"/>
      <c r="F47" s="149"/>
      <c r="G47" s="149"/>
      <c r="H47" s="150">
        <v>398.43</v>
      </c>
    </row>
    <row r="49" spans="1:7" x14ac:dyDescent="0.3">
      <c r="B49" s="151"/>
      <c r="C49" s="151"/>
      <c r="D49" s="151"/>
      <c r="E49" s="151"/>
      <c r="F49" s="151"/>
      <c r="G49" s="151"/>
    </row>
    <row r="50" spans="1:7" x14ac:dyDescent="0.3">
      <c r="A50" s="12" t="s">
        <v>741</v>
      </c>
      <c r="B50" s="151"/>
      <c r="C50" s="151"/>
      <c r="D50" s="151"/>
      <c r="E50" s="151"/>
      <c r="F50" s="151"/>
      <c r="G50" s="151"/>
    </row>
    <row r="51" spans="1:7" x14ac:dyDescent="0.3">
      <c r="A51" s="12" t="s">
        <v>742</v>
      </c>
    </row>
    <row r="52" spans="1:7" x14ac:dyDescent="0.3">
      <c r="B52" s="12" t="s">
        <v>743</v>
      </c>
    </row>
    <row r="53" spans="1:7" x14ac:dyDescent="0.3">
      <c r="B53" s="12" t="s">
        <v>744</v>
      </c>
    </row>
    <row r="54" spans="1:7" x14ac:dyDescent="0.3">
      <c r="B54" s="12" t="s">
        <v>745</v>
      </c>
    </row>
    <row r="55" spans="1:7" x14ac:dyDescent="0.3">
      <c r="A55" s="12" t="s">
        <v>746</v>
      </c>
    </row>
    <row r="56" spans="1:7" x14ac:dyDescent="0.3">
      <c r="A56" s="12" t="s">
        <v>747</v>
      </c>
    </row>
    <row r="57" spans="1:7" x14ac:dyDescent="0.3">
      <c r="A57" s="12" t="s">
        <v>748</v>
      </c>
    </row>
    <row r="59" spans="1:7" x14ac:dyDescent="0.3">
      <c r="A59" s="12" t="s">
        <v>749</v>
      </c>
    </row>
    <row r="60" spans="1:7" x14ac:dyDescent="0.3">
      <c r="A60" s="374" t="s">
        <v>750</v>
      </c>
    </row>
  </sheetData>
  <protectedRanges>
    <protectedRange sqref="F10:G47" name="Диапазон1_2"/>
  </protectedRanges>
  <mergeCells count="28"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  <mergeCell ref="A2:H5"/>
    <mergeCell ref="A6:A7"/>
    <mergeCell ref="B6:B7"/>
    <mergeCell ref="D6:D7"/>
    <mergeCell ref="E6:E7"/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1"/>
  <sheetViews>
    <sheetView workbookViewId="0">
      <selection activeCell="H32" sqref="A1:H32"/>
    </sheetView>
  </sheetViews>
  <sheetFormatPr defaultColWidth="8.77734375" defaultRowHeight="14.4" x14ac:dyDescent="0.3"/>
  <cols>
    <col min="1" max="1" width="4.21875" style="9" customWidth="1"/>
    <col min="2" max="2" width="35.21875" style="9" customWidth="1"/>
    <col min="3" max="3" width="10.77734375" style="9" customWidth="1"/>
    <col min="4" max="5" width="8.77734375" style="9"/>
    <col min="6" max="6" width="10.5546875" style="9" bestFit="1" customWidth="1"/>
    <col min="7" max="7" width="9.5546875" style="9" bestFit="1" customWidth="1"/>
    <col min="8" max="9" width="8.77734375" style="9"/>
    <col min="10" max="10" width="9.21875" style="9" bestFit="1" customWidth="1"/>
    <col min="11" max="16384" width="8.77734375" style="9"/>
  </cols>
  <sheetData>
    <row r="1" spans="1:7" ht="15" customHeight="1" x14ac:dyDescent="0.3"/>
    <row r="2" spans="1:7" x14ac:dyDescent="0.3">
      <c r="B2" s="672" t="s">
        <v>160</v>
      </c>
      <c r="C2" s="672"/>
      <c r="D2" s="672"/>
      <c r="E2" s="672"/>
      <c r="F2" s="672"/>
      <c r="G2" s="672"/>
    </row>
    <row r="3" spans="1:7" x14ac:dyDescent="0.3">
      <c r="B3" s="672" t="s">
        <v>180</v>
      </c>
      <c r="C3" s="672"/>
      <c r="D3" s="672"/>
      <c r="E3" s="672"/>
      <c r="F3" s="672"/>
      <c r="G3" s="672"/>
    </row>
    <row r="4" spans="1:7" ht="15" thickBot="1" x14ac:dyDescent="0.35">
      <c r="F4" s="9" t="s">
        <v>581</v>
      </c>
    </row>
    <row r="5" spans="1:7" ht="15" thickTop="1" x14ac:dyDescent="0.3">
      <c r="A5" s="673" t="s">
        <v>150</v>
      </c>
      <c r="B5" s="675" t="s">
        <v>151</v>
      </c>
      <c r="C5" s="677" t="s">
        <v>922</v>
      </c>
      <c r="D5" s="678"/>
      <c r="E5" s="678"/>
      <c r="F5" s="678"/>
      <c r="G5" s="679"/>
    </row>
    <row r="6" spans="1:7" x14ac:dyDescent="0.3">
      <c r="A6" s="674"/>
      <c r="B6" s="676"/>
      <c r="C6" s="159" t="s">
        <v>152</v>
      </c>
      <c r="D6" s="159" t="s">
        <v>111</v>
      </c>
      <c r="E6" s="159" t="s">
        <v>153</v>
      </c>
      <c r="F6" s="159" t="s">
        <v>154</v>
      </c>
      <c r="G6" s="159" t="s">
        <v>114</v>
      </c>
    </row>
    <row r="7" spans="1:7" x14ac:dyDescent="0.3">
      <c r="A7" s="160">
        <v>1</v>
      </c>
      <c r="B7" s="91">
        <v>2</v>
      </c>
      <c r="C7" s="90">
        <v>3</v>
      </c>
      <c r="D7" s="91">
        <v>4</v>
      </c>
      <c r="E7" s="90">
        <v>5</v>
      </c>
      <c r="F7" s="91">
        <v>6</v>
      </c>
      <c r="G7" s="90">
        <v>7</v>
      </c>
    </row>
    <row r="8" spans="1:7" ht="27" x14ac:dyDescent="0.3">
      <c r="A8" s="161" t="s">
        <v>17</v>
      </c>
      <c r="B8" s="162" t="s">
        <v>161</v>
      </c>
      <c r="C8" s="164">
        <f>C9+C16</f>
        <v>105287.715</v>
      </c>
      <c r="D8" s="164">
        <f>D16</f>
        <v>0</v>
      </c>
      <c r="E8" s="164">
        <v>3787.1289999999999</v>
      </c>
      <c r="F8" s="164">
        <v>101500.586</v>
      </c>
      <c r="G8" s="165">
        <f>G9+G17</f>
        <v>0</v>
      </c>
    </row>
    <row r="9" spans="1:7" x14ac:dyDescent="0.3">
      <c r="A9" s="161" t="s">
        <v>158</v>
      </c>
      <c r="B9" s="162" t="s">
        <v>156</v>
      </c>
      <c r="C9" s="164">
        <f>D9+E9+F9+G9</f>
        <v>86865.896999999997</v>
      </c>
      <c r="D9" s="164"/>
      <c r="E9" s="164"/>
      <c r="F9" s="164">
        <v>86865.896999999997</v>
      </c>
      <c r="G9" s="165"/>
    </row>
    <row r="10" spans="1:7" x14ac:dyDescent="0.3">
      <c r="A10" s="161"/>
      <c r="B10" s="162" t="s">
        <v>157</v>
      </c>
      <c r="C10" s="164">
        <f t="shared" ref="C10:C14" si="0">D10+E10+F10+G10</f>
        <v>61657.601000000002</v>
      </c>
      <c r="D10" s="164"/>
      <c r="E10" s="164"/>
      <c r="F10" s="164">
        <f>F11+F12+F13+F14</f>
        <v>3599.288</v>
      </c>
      <c r="G10" s="164">
        <f>G11+G12+G13+G14</f>
        <v>58058.313000000002</v>
      </c>
    </row>
    <row r="11" spans="1:7" x14ac:dyDescent="0.3">
      <c r="A11" s="161"/>
      <c r="B11" s="162" t="s">
        <v>111</v>
      </c>
      <c r="C11" s="164">
        <f t="shared" si="0"/>
        <v>0</v>
      </c>
      <c r="D11" s="164"/>
      <c r="E11" s="164"/>
      <c r="F11" s="164"/>
      <c r="G11" s="165"/>
    </row>
    <row r="12" spans="1:7" x14ac:dyDescent="0.3">
      <c r="A12" s="161"/>
      <c r="B12" s="162" t="s">
        <v>153</v>
      </c>
      <c r="C12" s="164">
        <f t="shared" si="0"/>
        <v>3599.288</v>
      </c>
      <c r="D12" s="164"/>
      <c r="E12" s="164"/>
      <c r="F12" s="164">
        <v>3599.288</v>
      </c>
      <c r="G12" s="165"/>
    </row>
    <row r="13" spans="1:7" x14ac:dyDescent="0.3">
      <c r="A13" s="161"/>
      <c r="B13" s="162" t="s">
        <v>154</v>
      </c>
      <c r="C13" s="164">
        <f t="shared" si="0"/>
        <v>58058.313000000002</v>
      </c>
      <c r="D13" s="164"/>
      <c r="E13" s="164"/>
      <c r="F13" s="164"/>
      <c r="G13" s="165">
        <v>58058.313000000002</v>
      </c>
    </row>
    <row r="14" spans="1:7" x14ac:dyDescent="0.3">
      <c r="A14" s="161"/>
      <c r="B14" s="162" t="s">
        <v>114</v>
      </c>
      <c r="C14" s="164">
        <f t="shared" si="0"/>
        <v>0</v>
      </c>
      <c r="D14" s="164"/>
      <c r="E14" s="164"/>
      <c r="F14" s="164"/>
      <c r="G14" s="165"/>
    </row>
    <row r="15" spans="1:7" x14ac:dyDescent="0.3">
      <c r="A15" s="161" t="s">
        <v>159</v>
      </c>
      <c r="B15" s="162" t="s">
        <v>162</v>
      </c>
      <c r="C15" s="164"/>
      <c r="D15" s="164"/>
      <c r="E15" s="164"/>
      <c r="F15" s="164"/>
      <c r="G15" s="165"/>
    </row>
    <row r="16" spans="1:7" ht="27" x14ac:dyDescent="0.3">
      <c r="A16" s="161" t="s">
        <v>163</v>
      </c>
      <c r="B16" s="162" t="s">
        <v>155</v>
      </c>
      <c r="C16" s="163">
        <f>D16+E16+F16+G16</f>
        <v>18421.817999999999</v>
      </c>
      <c r="D16" s="164"/>
      <c r="E16" s="164">
        <v>3787.1289999999999</v>
      </c>
      <c r="F16" s="164">
        <v>14634.689</v>
      </c>
      <c r="G16" s="165"/>
    </row>
    <row r="17" spans="1:10" ht="26.4" x14ac:dyDescent="0.3">
      <c r="A17" s="161" t="s">
        <v>164</v>
      </c>
      <c r="B17" s="166" t="s">
        <v>165</v>
      </c>
      <c r="C17" s="163">
        <f>D17+E17+F17+G17</f>
        <v>0</v>
      </c>
      <c r="D17" s="164"/>
      <c r="E17" s="164"/>
      <c r="F17" s="164"/>
      <c r="G17" s="165"/>
    </row>
    <row r="18" spans="1:10" x14ac:dyDescent="0.3">
      <c r="A18" s="161" t="s">
        <v>19</v>
      </c>
      <c r="B18" s="162" t="s">
        <v>166</v>
      </c>
      <c r="C18" s="164">
        <f>E18+F18+G18</f>
        <v>12246.368</v>
      </c>
      <c r="D18" s="164"/>
      <c r="E18" s="164">
        <v>187.84100000000001</v>
      </c>
      <c r="F18" s="164">
        <v>7218.78</v>
      </c>
      <c r="G18" s="165">
        <v>4839.7470000000003</v>
      </c>
    </row>
    <row r="19" spans="1:10" x14ac:dyDescent="0.3">
      <c r="A19" s="161"/>
      <c r="B19" s="167" t="s">
        <v>167</v>
      </c>
      <c r="C19" s="168">
        <f>C18/C8</f>
        <v>0.11631336096523702</v>
      </c>
      <c r="D19" s="169"/>
      <c r="E19" s="168">
        <f>E18/E21</f>
        <v>4.9599841991123092E-2</v>
      </c>
      <c r="F19" s="168">
        <f>F18/F21</f>
        <v>6.8684953894426179E-2</v>
      </c>
      <c r="G19" s="170">
        <f>G18/G21</f>
        <v>8.3360103832159235E-2</v>
      </c>
    </row>
    <row r="20" spans="1:10" ht="39.6" x14ac:dyDescent="0.3">
      <c r="A20" s="161" t="s">
        <v>21</v>
      </c>
      <c r="B20" s="171" t="s">
        <v>168</v>
      </c>
      <c r="C20" s="164"/>
      <c r="D20" s="164"/>
      <c r="E20" s="164"/>
      <c r="F20" s="164"/>
      <c r="G20" s="165"/>
      <c r="J20" s="241"/>
    </row>
    <row r="21" spans="1:10" x14ac:dyDescent="0.3">
      <c r="A21" s="161" t="s">
        <v>169</v>
      </c>
      <c r="B21" s="162" t="s">
        <v>170</v>
      </c>
      <c r="C21" s="164">
        <f>C8-C16</f>
        <v>86865.896999999997</v>
      </c>
      <c r="D21" s="164"/>
      <c r="E21" s="164">
        <v>3787.1289999999999</v>
      </c>
      <c r="F21" s="164">
        <v>105099.874</v>
      </c>
      <c r="G21" s="165">
        <v>58058.313000000002</v>
      </c>
    </row>
    <row r="22" spans="1:10" ht="27" x14ac:dyDescent="0.3">
      <c r="A22" s="161" t="s">
        <v>171</v>
      </c>
      <c r="B22" s="162" t="s">
        <v>172</v>
      </c>
      <c r="C22" s="164"/>
      <c r="D22" s="164"/>
      <c r="E22" s="164"/>
      <c r="F22" s="164"/>
      <c r="G22" s="165"/>
    </row>
    <row r="23" spans="1:10" x14ac:dyDescent="0.3">
      <c r="A23" s="161"/>
      <c r="B23" s="162" t="s">
        <v>173</v>
      </c>
      <c r="C23" s="164"/>
      <c r="D23" s="164"/>
      <c r="E23" s="164"/>
      <c r="F23" s="164"/>
      <c r="G23" s="165"/>
    </row>
    <row r="24" spans="1:10" ht="27" x14ac:dyDescent="0.3">
      <c r="A24" s="161"/>
      <c r="B24" s="162" t="s">
        <v>174</v>
      </c>
      <c r="C24" s="164"/>
      <c r="D24" s="164"/>
      <c r="E24" s="164"/>
      <c r="F24" s="164"/>
      <c r="G24" s="165"/>
    </row>
    <row r="25" spans="1:10" x14ac:dyDescent="0.3">
      <c r="A25" s="161"/>
      <c r="B25" s="162" t="s">
        <v>175</v>
      </c>
      <c r="C25" s="164"/>
      <c r="D25" s="164"/>
      <c r="E25" s="164"/>
      <c r="F25" s="164"/>
      <c r="G25" s="165"/>
    </row>
    <row r="26" spans="1:10" x14ac:dyDescent="0.3">
      <c r="A26" s="161" t="s">
        <v>176</v>
      </c>
      <c r="B26" s="172" t="s">
        <v>177</v>
      </c>
      <c r="C26" s="164"/>
      <c r="D26" s="164"/>
      <c r="E26" s="164"/>
      <c r="F26" s="164"/>
      <c r="G26" s="165"/>
    </row>
    <row r="27" spans="1:10" ht="15" thickBot="1" x14ac:dyDescent="0.35">
      <c r="A27" s="173" t="s">
        <v>178</v>
      </c>
      <c r="B27" s="174" t="s">
        <v>179</v>
      </c>
      <c r="C27" s="175"/>
      <c r="D27" s="175"/>
      <c r="E27" s="175"/>
      <c r="F27" s="175"/>
      <c r="G27" s="176"/>
    </row>
    <row r="28" spans="1:10" ht="15" thickTop="1" x14ac:dyDescent="0.3">
      <c r="A28" s="178"/>
      <c r="B28" s="177"/>
      <c r="C28" s="179"/>
      <c r="D28" s="179"/>
      <c r="E28" s="179"/>
      <c r="F28" s="179"/>
      <c r="G28" s="179"/>
    </row>
    <row r="29" spans="1:10" x14ac:dyDescent="0.3">
      <c r="A29" s="178"/>
      <c r="B29" s="177"/>
      <c r="C29" s="179"/>
      <c r="D29" s="179"/>
      <c r="E29" s="179"/>
      <c r="F29" s="179"/>
      <c r="G29" s="179"/>
    </row>
    <row r="31" spans="1:10" x14ac:dyDescent="0.3">
      <c r="B31" s="177" t="s">
        <v>441</v>
      </c>
      <c r="E31" s="9" t="s">
        <v>537</v>
      </c>
    </row>
  </sheetData>
  <mergeCells count="5">
    <mergeCell ref="B2:G2"/>
    <mergeCell ref="B3:G3"/>
    <mergeCell ref="A5:A6"/>
    <mergeCell ref="B5:B6"/>
    <mergeCell ref="C5:G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C1:I32"/>
  <sheetViews>
    <sheetView topLeftCell="A22" workbookViewId="0">
      <selection activeCell="C39" sqref="C39"/>
    </sheetView>
  </sheetViews>
  <sheetFormatPr defaultColWidth="9.109375" defaultRowHeight="13.8" x14ac:dyDescent="0.25"/>
  <cols>
    <col min="1" max="2" width="1" style="227" customWidth="1"/>
    <col min="3" max="3" width="61.5546875" style="227" customWidth="1"/>
    <col min="4" max="4" width="10.77734375" style="227" customWidth="1"/>
    <col min="5" max="5" width="13.44140625" style="227" customWidth="1"/>
    <col min="6" max="6" width="7.21875" style="227" customWidth="1"/>
    <col min="7" max="7" width="10.88671875" style="227" customWidth="1"/>
    <col min="8" max="8" width="11.77734375" style="227" customWidth="1"/>
    <col min="9" max="9" width="11.109375" style="227" customWidth="1"/>
    <col min="10" max="16384" width="9.109375" style="227"/>
  </cols>
  <sheetData>
    <row r="1" spans="3:9" s="223" customFormat="1" ht="32.4" customHeight="1" x14ac:dyDescent="0.3">
      <c r="C1" s="688" t="s">
        <v>687</v>
      </c>
      <c r="D1" s="688"/>
      <c r="E1" s="688"/>
      <c r="F1" s="688"/>
      <c r="G1" s="688"/>
      <c r="H1" s="688"/>
      <c r="I1" s="688"/>
    </row>
    <row r="2" spans="3:9" s="223" customFormat="1" ht="16.5" customHeight="1" x14ac:dyDescent="0.3">
      <c r="C2" s="685" t="s">
        <v>765</v>
      </c>
      <c r="D2" s="685"/>
      <c r="E2" s="685"/>
      <c r="F2" s="685"/>
      <c r="G2" s="685"/>
      <c r="H2" s="685"/>
      <c r="I2" s="685"/>
    </row>
    <row r="3" spans="3:9" s="223" customFormat="1" ht="15.6" x14ac:dyDescent="0.3">
      <c r="C3" s="689" t="s">
        <v>766</v>
      </c>
      <c r="D3" s="689"/>
      <c r="E3" s="689"/>
      <c r="F3" s="689"/>
      <c r="G3" s="689"/>
      <c r="H3" s="689"/>
      <c r="I3" s="689"/>
    </row>
    <row r="4" spans="3:9" s="224" customFormat="1" ht="15.6" x14ac:dyDescent="0.3">
      <c r="C4" s="690" t="s">
        <v>688</v>
      </c>
      <c r="D4" s="690"/>
      <c r="E4" s="690"/>
      <c r="F4" s="690"/>
      <c r="G4" s="690"/>
      <c r="H4" s="690"/>
      <c r="I4" s="690"/>
    </row>
    <row r="5" spans="3:9" x14ac:dyDescent="0.25">
      <c r="C5" s="225"/>
      <c r="D5" s="225"/>
      <c r="E5" s="225"/>
      <c r="F5" s="225"/>
      <c r="G5" s="225"/>
      <c r="H5" s="225"/>
      <c r="I5" s="226"/>
    </row>
    <row r="6" spans="3:9" ht="13.8" customHeight="1" x14ac:dyDescent="0.25">
      <c r="C6" s="686" t="s">
        <v>233</v>
      </c>
      <c r="D6" s="686" t="s">
        <v>689</v>
      </c>
      <c r="E6" s="686" t="s">
        <v>152</v>
      </c>
      <c r="F6" s="691" t="s">
        <v>690</v>
      </c>
      <c r="G6" s="692"/>
      <c r="H6" s="692"/>
      <c r="I6" s="693"/>
    </row>
    <row r="7" spans="3:9" x14ac:dyDescent="0.25">
      <c r="C7" s="687"/>
      <c r="D7" s="687"/>
      <c r="E7" s="687"/>
      <c r="F7" s="376" t="s">
        <v>111</v>
      </c>
      <c r="G7" s="376" t="s">
        <v>112</v>
      </c>
      <c r="H7" s="376" t="s">
        <v>113</v>
      </c>
      <c r="I7" s="376" t="s">
        <v>114</v>
      </c>
    </row>
    <row r="8" spans="3:9" ht="15" customHeight="1" x14ac:dyDescent="0.25">
      <c r="C8" s="228">
        <v>1</v>
      </c>
      <c r="D8" s="228">
        <v>2</v>
      </c>
      <c r="E8" s="228">
        <v>3</v>
      </c>
      <c r="F8" s="228">
        <v>4</v>
      </c>
      <c r="G8" s="228">
        <v>5</v>
      </c>
      <c r="H8" s="228">
        <v>6</v>
      </c>
      <c r="I8" s="228">
        <v>7</v>
      </c>
    </row>
    <row r="9" spans="3:9" ht="15" customHeight="1" x14ac:dyDescent="0.25">
      <c r="C9" s="680" t="s">
        <v>752</v>
      </c>
      <c r="D9" s="681"/>
      <c r="E9" s="681"/>
      <c r="F9" s="681"/>
      <c r="G9" s="681"/>
      <c r="H9" s="681"/>
      <c r="I9" s="682"/>
    </row>
    <row r="10" spans="3:9" ht="15" customHeight="1" x14ac:dyDescent="0.25">
      <c r="C10" s="229" t="s">
        <v>691</v>
      </c>
      <c r="D10" s="230" t="s">
        <v>692</v>
      </c>
      <c r="E10" s="239">
        <f>SUM(F10:I10)</f>
        <v>105287.715</v>
      </c>
      <c r="F10" s="239">
        <f>SUM(F11:F13)</f>
        <v>0</v>
      </c>
      <c r="G10" s="239">
        <f>SUM(G11:G13)</f>
        <v>3787.1289999999999</v>
      </c>
      <c r="H10" s="239">
        <f>SUM(H11:H13)</f>
        <v>101500.586</v>
      </c>
      <c r="I10" s="239">
        <f>SUM(I11:I13)</f>
        <v>0</v>
      </c>
    </row>
    <row r="11" spans="3:9" ht="15" customHeight="1" x14ac:dyDescent="0.25">
      <c r="C11" s="229" t="s">
        <v>693</v>
      </c>
      <c r="D11" s="230" t="s">
        <v>692</v>
      </c>
      <c r="E11" s="239">
        <f t="shared" ref="E11:E14" si="0">SUM(F11:I11)</f>
        <v>18421.817999999999</v>
      </c>
      <c r="F11" s="379"/>
      <c r="G11" s="379">
        <v>3787.1289999999999</v>
      </c>
      <c r="H11" s="379">
        <v>14634.689</v>
      </c>
      <c r="I11" s="379"/>
    </row>
    <row r="12" spans="3:9" ht="15" customHeight="1" x14ac:dyDescent="0.25">
      <c r="C12" s="229" t="s">
        <v>694</v>
      </c>
      <c r="D12" s="230" t="s">
        <v>692</v>
      </c>
      <c r="E12" s="239">
        <f t="shared" si="0"/>
        <v>0</v>
      </c>
      <c r="F12" s="379"/>
      <c r="G12" s="379"/>
      <c r="H12" s="379"/>
      <c r="I12" s="379"/>
    </row>
    <row r="13" spans="3:9" ht="15" customHeight="1" x14ac:dyDescent="0.25">
      <c r="C13" s="229" t="s">
        <v>695</v>
      </c>
      <c r="D13" s="230" t="s">
        <v>692</v>
      </c>
      <c r="E13" s="239">
        <f t="shared" si="0"/>
        <v>86865.896999999997</v>
      </c>
      <c r="F13" s="379"/>
      <c r="G13" s="379"/>
      <c r="H13" s="379">
        <v>86865.896999999997</v>
      </c>
      <c r="I13" s="379"/>
    </row>
    <row r="14" spans="3:9" ht="15" customHeight="1" x14ac:dyDescent="0.25">
      <c r="C14" s="229" t="s">
        <v>696</v>
      </c>
      <c r="D14" s="230" t="s">
        <v>692</v>
      </c>
      <c r="E14" s="239">
        <f t="shared" si="0"/>
        <v>61657.601000000002</v>
      </c>
      <c r="F14" s="380"/>
      <c r="G14" s="379"/>
      <c r="H14" s="379">
        <v>3599.288</v>
      </c>
      <c r="I14" s="379">
        <v>58058.313000000002</v>
      </c>
    </row>
    <row r="15" spans="3:9" ht="15" customHeight="1" x14ac:dyDescent="0.25">
      <c r="C15" s="229" t="s">
        <v>697</v>
      </c>
      <c r="D15" s="230" t="s">
        <v>692</v>
      </c>
      <c r="E15" s="239">
        <f>E10</f>
        <v>105287.715</v>
      </c>
      <c r="F15" s="239">
        <f>F10+F14</f>
        <v>0</v>
      </c>
      <c r="G15" s="239">
        <f>G10+G14</f>
        <v>3787.1289999999999</v>
      </c>
      <c r="H15" s="239">
        <f>H10+H14</f>
        <v>105099.874</v>
      </c>
      <c r="I15" s="239">
        <f>I10+I14</f>
        <v>58058.313000000002</v>
      </c>
    </row>
    <row r="16" spans="3:9" ht="15" customHeight="1" x14ac:dyDescent="0.25">
      <c r="C16" s="683" t="s">
        <v>698</v>
      </c>
      <c r="D16" s="230" t="s">
        <v>692</v>
      </c>
      <c r="E16" s="239">
        <f>SUM(F16:I16)</f>
        <v>12246.368</v>
      </c>
      <c r="F16" s="378"/>
      <c r="G16" s="378">
        <v>187.84100000000001</v>
      </c>
      <c r="H16" s="378">
        <v>7218.78</v>
      </c>
      <c r="I16" s="378">
        <v>4839.7470000000003</v>
      </c>
    </row>
    <row r="17" spans="3:9" ht="15" customHeight="1" x14ac:dyDescent="0.25">
      <c r="C17" s="684"/>
      <c r="D17" s="230" t="s">
        <v>263</v>
      </c>
      <c r="E17" s="239">
        <f>IFERROR(E16/E15*100,0)</f>
        <v>11.631336096523702</v>
      </c>
      <c r="F17" s="239">
        <f>IFERROR(F16/F15*100,0)</f>
        <v>0</v>
      </c>
      <c r="G17" s="239">
        <f t="shared" ref="G17:I17" si="1">IFERROR(G16/G15*100,0)</f>
        <v>4.9599841991123093</v>
      </c>
      <c r="H17" s="239">
        <f t="shared" si="1"/>
        <v>6.8684953894426179</v>
      </c>
      <c r="I17" s="239">
        <f t="shared" si="1"/>
        <v>8.3360103832159229</v>
      </c>
    </row>
    <row r="18" spans="3:9" ht="15" customHeight="1" x14ac:dyDescent="0.25">
      <c r="C18" s="381" t="s">
        <v>753</v>
      </c>
      <c r="D18" s="230" t="s">
        <v>754</v>
      </c>
      <c r="E18" s="239">
        <f>SUM(F18:I18)</f>
        <v>57.353000000000002</v>
      </c>
      <c r="F18" s="382"/>
      <c r="G18" s="382">
        <v>2</v>
      </c>
      <c r="H18" s="379">
        <v>55.353000000000002</v>
      </c>
      <c r="I18" s="383"/>
    </row>
    <row r="19" spans="3:9" ht="30" customHeight="1" x14ac:dyDescent="0.25">
      <c r="C19" s="229" t="s">
        <v>699</v>
      </c>
      <c r="D19" s="230" t="s">
        <v>32</v>
      </c>
      <c r="E19" s="239">
        <f>SUM(F19:I19)</f>
        <v>315.75</v>
      </c>
      <c r="F19" s="382"/>
      <c r="G19" s="382">
        <v>40.68</v>
      </c>
      <c r="H19" s="379">
        <v>98.27</v>
      </c>
      <c r="I19" s="382">
        <v>176.8</v>
      </c>
    </row>
    <row r="20" spans="3:9" ht="30" customHeight="1" x14ac:dyDescent="0.25">
      <c r="C20" s="229" t="s">
        <v>755</v>
      </c>
      <c r="D20" s="230" t="s">
        <v>32</v>
      </c>
      <c r="E20" s="239">
        <f>SUM(F20:I20)</f>
        <v>228.07</v>
      </c>
      <c r="F20" s="382"/>
      <c r="G20" s="382"/>
      <c r="H20" s="379">
        <v>75.19</v>
      </c>
      <c r="I20" s="232">
        <v>152.88</v>
      </c>
    </row>
    <row r="21" spans="3:9" ht="30" customHeight="1" x14ac:dyDescent="0.25">
      <c r="C21" s="229" t="s">
        <v>756</v>
      </c>
      <c r="D21" s="230" t="s">
        <v>757</v>
      </c>
      <c r="E21" s="233"/>
      <c r="F21" s="231">
        <f t="shared" ref="F21:I21" si="2">IFERROR(F15/F19,0)</f>
        <v>0</v>
      </c>
      <c r="G21" s="231">
        <f t="shared" si="2"/>
        <v>93.095599803343163</v>
      </c>
      <c r="H21" s="231">
        <f t="shared" si="2"/>
        <v>1069.5011091889692</v>
      </c>
      <c r="I21" s="231">
        <f t="shared" si="2"/>
        <v>328.38412330316743</v>
      </c>
    </row>
    <row r="22" spans="3:9" ht="43.8" customHeight="1" x14ac:dyDescent="0.25">
      <c r="C22" s="229" t="s">
        <v>758</v>
      </c>
      <c r="D22" s="230" t="s">
        <v>759</v>
      </c>
      <c r="E22" s="233"/>
      <c r="F22" s="231">
        <f t="shared" ref="F22:H22" si="3">IFERROR(F15/F18,0)</f>
        <v>0</v>
      </c>
      <c r="G22" s="231">
        <f t="shared" si="3"/>
        <v>1893.5645</v>
      </c>
      <c r="H22" s="231">
        <f t="shared" si="3"/>
        <v>1898.7204668220329</v>
      </c>
      <c r="I22" s="383"/>
    </row>
    <row r="23" spans="3:9" ht="30" customHeight="1" x14ac:dyDescent="0.25">
      <c r="C23" s="229" t="s">
        <v>700</v>
      </c>
      <c r="D23" s="230" t="s">
        <v>263</v>
      </c>
      <c r="E23" s="233"/>
      <c r="F23" s="231">
        <f>IFERROR(F20/F19*100,0)</f>
        <v>0</v>
      </c>
      <c r="G23" s="231">
        <f t="shared" ref="G23:H23" si="4">IFERROR(G20/G19*100,0)</f>
        <v>0</v>
      </c>
      <c r="H23" s="231">
        <f t="shared" si="4"/>
        <v>76.513686781316778</v>
      </c>
      <c r="I23" s="231">
        <f>IFERROR(I20/I19*100,0)</f>
        <v>86.470588235294116</v>
      </c>
    </row>
    <row r="24" spans="3:9" ht="30" customHeight="1" x14ac:dyDescent="0.25">
      <c r="C24" s="229" t="s">
        <v>760</v>
      </c>
      <c r="D24" s="230" t="s">
        <v>263</v>
      </c>
      <c r="E24" s="233"/>
      <c r="F24" s="231">
        <f>IF(AND(F21=0,F22=0),0,IF(AND(AND(F21&gt;0,F21&lt;=3500),AND(F22&gt;0,F22&lt;=2000)),'[1]Приказ МЭ от 26.09.2017 №887'!$D$11,IF(AND(AND(F21&gt;0,F21&lt;=3500),OR(F22=0,F22&gt;2000)),'[1]Приказ МЭ от 26.09.2017 №887'!$D$12,IF(AND(OR(F21=0,F21&gt;3500),AND(F22&gt;0,F22&lt;=2000)),'[1]Приказ МЭ от 26.09.2017 №887'!$D$13,IF(AND(OR(F21=0,F21&gt;3500),AND(OR(F22=0,F22&gt;2000))),'[1]Приказ МЭ от 26.09.2017 №887'!$D$14,"")))))</f>
        <v>0</v>
      </c>
      <c r="G24" s="231">
        <f>IF(AND(G21=0,G22=0),0,IF(AND(AND(G21&gt;0,G21&lt;=700),AND(G22&gt;0,G22&lt;=2000)),'[1]Приказ МЭ от 26.09.2017 №887'!$D$16,IF(AND(AND(G21&gt;0,G21&lt;=700),OR(G22=0,G22&gt;2000)),'[1]Приказ МЭ от 26.09.2017 №887'!$D$17,IF(AND(OR(G21=0,G21&gt;700),AND(G22&gt;0,G22&lt;=2000)),'[1]Приказ МЭ от 26.09.2017 №887'!$D$18,IF(AND(OR(G21=0,G21&gt;700),AND(OR(G22=0,G22&gt;2000))),'[1]Приказ МЭ от 26.09.2017 №887'!$D$19,"")))))</f>
        <v>5.77</v>
      </c>
      <c r="H24" s="231">
        <f>IF(AND(H18=0,H19=0),0,IF(AND(H23&gt;30,AND(H22&gt;0,H22&lt;=2000)),'[1]Приказ МЭ от 26.09.2017 №887'!$D$23,IF(AND(H23&gt;30,OR(H22&gt;2000,H22=0)),'[1]Приказ МЭ от 26.09.2017 №887'!$D$24,IF(AND(H23&lt;=30,AND(H22&gt;0,H22&lt;=2000)),'[1]Приказ МЭ от 26.09.2017 №887'!$D$25,IF(AND(H23&lt;=30,OR(H22&gt;2000,H22=0)),'[1]Приказ МЭ от 26.09.2017 №887'!$D$26,"")))))</f>
        <v>8.49</v>
      </c>
      <c r="I24" s="231">
        <f>IF(AND(I23&gt;=0,I23&lt;=30),'[1]Приказ МЭ от 26.09.2017 №887'!$D$31,IF(I23&gt;30,'[1]Приказ МЭ от 26.09.2017 №887'!$D$30,0))</f>
        <v>13.49</v>
      </c>
    </row>
    <row r="25" spans="3:9" ht="30" customHeight="1" x14ac:dyDescent="0.25">
      <c r="C25" s="229" t="s">
        <v>761</v>
      </c>
      <c r="D25" s="230" t="s">
        <v>263</v>
      </c>
      <c r="E25" s="233"/>
      <c r="F25" s="231">
        <f>IFERROR(MIN(F24,F17),0)</f>
        <v>0</v>
      </c>
      <c r="G25" s="231">
        <f>IFERROR(MIN(G24,G17),0)</f>
        <v>4.9599841991123093</v>
      </c>
      <c r="H25" s="231">
        <f>IFERROR(MIN(H24,H17),0)</f>
        <v>6.8684953894426179</v>
      </c>
      <c r="I25" s="231">
        <f>IFERROR(MIN(I24,I17),0)</f>
        <v>8.3360103832159229</v>
      </c>
    </row>
    <row r="26" spans="3:9" ht="30" customHeight="1" x14ac:dyDescent="0.25">
      <c r="C26" s="229" t="s">
        <v>762</v>
      </c>
      <c r="D26" s="230" t="s">
        <v>692</v>
      </c>
      <c r="E26" s="378">
        <v>106170</v>
      </c>
      <c r="F26" s="233"/>
      <c r="G26" s="233"/>
      <c r="H26" s="233"/>
      <c r="I26" s="233"/>
    </row>
    <row r="27" spans="3:9" ht="30" customHeight="1" x14ac:dyDescent="0.25">
      <c r="C27" s="229" t="s">
        <v>763</v>
      </c>
      <c r="D27" s="230" t="s">
        <v>692</v>
      </c>
      <c r="E27" s="239">
        <f>E26*E28/100</f>
        <v>12348.989533679216</v>
      </c>
      <c r="F27" s="233"/>
      <c r="G27" s="233"/>
      <c r="H27" s="233"/>
      <c r="I27" s="233"/>
    </row>
    <row r="28" spans="3:9" ht="30" customHeight="1" x14ac:dyDescent="0.25">
      <c r="C28" s="229" t="s">
        <v>764</v>
      </c>
      <c r="D28" s="230"/>
      <c r="E28" s="239">
        <f>IFERROR((F25*F15+G25*G15+H25*H15+I25*I15)/E15,0)</f>
        <v>11.631336096523702</v>
      </c>
      <c r="F28" s="233"/>
      <c r="G28" s="233"/>
      <c r="H28" s="233"/>
      <c r="I28" s="233"/>
    </row>
    <row r="29" spans="3:9" ht="15" customHeight="1" x14ac:dyDescent="0.25">
      <c r="C29" s="234"/>
      <c r="D29" s="235"/>
      <c r="E29" s="236"/>
      <c r="F29" s="236"/>
      <c r="G29" s="236"/>
      <c r="H29" s="236"/>
      <c r="I29" s="236"/>
    </row>
    <row r="30" spans="3:9" x14ac:dyDescent="0.25">
      <c r="C30" s="237" t="s">
        <v>701</v>
      </c>
    </row>
    <row r="31" spans="3:9" x14ac:dyDescent="0.25">
      <c r="C31" s="227" t="s">
        <v>702</v>
      </c>
      <c r="F31" s="238"/>
      <c r="G31" s="238"/>
      <c r="H31" s="238"/>
      <c r="I31" s="238"/>
    </row>
    <row r="32" spans="3:9" x14ac:dyDescent="0.25">
      <c r="C32" s="227" t="s">
        <v>9</v>
      </c>
      <c r="D32" s="227" t="s">
        <v>537</v>
      </c>
    </row>
  </sheetData>
  <mergeCells count="10">
    <mergeCell ref="C9:I9"/>
    <mergeCell ref="C16:C17"/>
    <mergeCell ref="C2:I2"/>
    <mergeCell ref="C6:C7"/>
    <mergeCell ref="C1:I1"/>
    <mergeCell ref="C3:I3"/>
    <mergeCell ref="C4:I4"/>
    <mergeCell ref="D6:D7"/>
    <mergeCell ref="E6:E7"/>
    <mergeCell ref="F6:I6"/>
  </mergeCells>
  <dataValidations count="9">
    <dataValidation type="decimal" operator="greaterThanOrEqual" allowBlank="1" showErrorMessage="1" errorTitle="Недопустимое значение" error="Отчетные потери должны быть положительными" sqref="E17:I17 F18:I18">
      <formula1>0</formula1>
    </dataValidation>
    <dataValidation type="decimal" allowBlank="1" showErrorMessage="1" errorTitle="Ошибка" error="Допускается ввод только действительных чисел!" sqref="E29:I29 F10:I15 F23:I28 E10:E16 E18:E28">
      <formula1>-9.99999999999999E+23</formula1>
      <formula2>9.99999999999999E+23</formula2>
    </dataValidation>
    <dataValidation type="decimal" allowBlank="1" showErrorMessage="1" errorTitle="Недопустимое значение" error="Отчетные потери должны быть положительными" sqref="F16:I16">
      <formula1>0</formula1>
      <formula2>F15</formula2>
    </dataValidation>
    <dataValidation type="decimal" operator="greaterThanOrEqual" allowBlank="1" showErrorMessage="1" errorTitle="Ошибка ввода" error="Сумма ВЛ и КЛ должна быть болшьше ВЛ" sqref="H19:I19">
      <formula1>H20</formula1>
    </dataValidation>
    <dataValidation type="decimal" operator="greaterThanOrEqual" allowBlank="1" showErrorMessage="1" errorTitle="Ошибка ввода!!!" error="Сумма ВЛ и КЛ должна быть болшьше ВЛ" sqref="F19:G19">
      <formula1>F20</formula1>
    </dataValidation>
    <dataValidation type="decimal" operator="lessThanOrEqual" allowBlank="1" showErrorMessage="1" errorTitle="Ошибка ввода!!!" error="Протяженность ВЛ не может превышать суммарную протяженность ВЛ и КЛ" sqref="H20:I20">
      <formula1>H19</formula1>
    </dataValidation>
    <dataValidation type="decimal" allowBlank="1" showErrorMessage="1" errorTitle="Ошибка ввода!!!" error="Протяженность ВЛ не может превышать суммарную протяженность ВЛ и КЛ" sqref="G20">
      <formula1>0</formula1>
      <formula2>G19</formula2>
    </dataValidation>
    <dataValidation type="decimal" allowBlank="1" showErrorMessage="1" errorTitle="Ошибка ввода!!" error="Протяженность ВЛ не может превышать Суммарную протяженность ВЛ и КЛ" sqref="F20">
      <formula1>0</formula1>
      <formula2>F19</formula2>
    </dataValidation>
    <dataValidation operator="lessThanOrEqual" allowBlank="1" showErrorMessage="1" errorTitle="Ошибка ввода!!" error="Протяженность ВЛ не может превышать Суммарную протяженность ВЛ и КЛ" sqref="F21:I21"/>
  </dataValidation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51"/>
  <sheetViews>
    <sheetView topLeftCell="A13" workbookViewId="0">
      <selection activeCell="A51" sqref="A51:XFD51"/>
    </sheetView>
  </sheetViews>
  <sheetFormatPr defaultRowHeight="14.4" x14ac:dyDescent="0.3"/>
  <cols>
    <col min="1" max="1" width="26.44140625" customWidth="1"/>
    <col min="2" max="2" width="12.44140625" customWidth="1"/>
    <col min="3" max="3" width="17.21875" customWidth="1"/>
    <col min="4" max="4" width="19.21875" customWidth="1"/>
    <col min="5" max="6" width="12.44140625" customWidth="1"/>
  </cols>
  <sheetData>
    <row r="2" spans="1:8" x14ac:dyDescent="0.3">
      <c r="A2" s="9"/>
      <c r="B2" s="9"/>
      <c r="C2" s="9"/>
      <c r="D2" s="9"/>
      <c r="E2" s="9"/>
      <c r="F2" s="9"/>
      <c r="G2" s="9"/>
    </row>
    <row r="3" spans="1:8" x14ac:dyDescent="0.3">
      <c r="A3" s="9"/>
      <c r="B3" s="9"/>
      <c r="C3" s="9"/>
      <c r="D3" s="9"/>
      <c r="E3" s="9"/>
      <c r="F3" s="27" t="s">
        <v>181</v>
      </c>
      <c r="G3" s="27">
        <f>G4</f>
        <v>2189.36</v>
      </c>
    </row>
    <row r="4" spans="1:8" ht="15.6" x14ac:dyDescent="0.3">
      <c r="A4" s="703" t="s">
        <v>213</v>
      </c>
      <c r="B4" s="703"/>
      <c r="C4" s="703"/>
      <c r="D4" s="703"/>
      <c r="E4" s="703"/>
      <c r="F4" s="27" t="s">
        <v>182</v>
      </c>
      <c r="G4" s="27">
        <f>G8+G7+G9</f>
        <v>2189.36</v>
      </c>
    </row>
    <row r="5" spans="1:8" ht="15.6" x14ac:dyDescent="0.3">
      <c r="A5" s="703" t="s">
        <v>232</v>
      </c>
      <c r="B5" s="703"/>
      <c r="C5" s="703"/>
      <c r="D5" s="703"/>
      <c r="E5" s="703"/>
      <c r="F5" s="27" t="s">
        <v>183</v>
      </c>
      <c r="G5" s="27">
        <f>G7+G9</f>
        <v>1704.3600000000001</v>
      </c>
    </row>
    <row r="6" spans="1:8" ht="15.6" x14ac:dyDescent="0.3">
      <c r="A6" s="247"/>
      <c r="B6" s="247"/>
      <c r="C6" s="248" t="s">
        <v>751</v>
      </c>
      <c r="D6" s="242"/>
      <c r="E6" s="242"/>
      <c r="F6" s="27" t="s">
        <v>184</v>
      </c>
      <c r="G6" s="27">
        <f>G7+G8</f>
        <v>630.36</v>
      </c>
    </row>
    <row r="7" spans="1:8" x14ac:dyDescent="0.3">
      <c r="A7" s="107" t="s">
        <v>873</v>
      </c>
      <c r="B7" s="108"/>
      <c r="C7" s="9"/>
      <c r="D7" s="9"/>
      <c r="E7" s="9"/>
      <c r="F7" s="27" t="s">
        <v>185</v>
      </c>
      <c r="G7" s="86">
        <f>80.78+64.58</f>
        <v>145.36000000000001</v>
      </c>
    </row>
    <row r="8" spans="1:8" x14ac:dyDescent="0.3">
      <c r="A8" s="29"/>
      <c r="B8" s="29"/>
      <c r="F8" s="27" t="s">
        <v>186</v>
      </c>
      <c r="G8" s="377">
        <f>22.83+29.24+3.49+74.05+22.13+17.84+302.94+12.48</f>
        <v>485</v>
      </c>
      <c r="H8" s="282"/>
    </row>
    <row r="9" spans="1:8" x14ac:dyDescent="0.3">
      <c r="A9" s="29"/>
      <c r="B9" s="29"/>
      <c r="F9" s="27" t="s">
        <v>104</v>
      </c>
      <c r="G9" s="86">
        <v>1559</v>
      </c>
    </row>
    <row r="10" spans="1:8" ht="15" thickBot="1" x14ac:dyDescent="0.35">
      <c r="A10" s="29"/>
      <c r="B10" s="29"/>
      <c r="F10" s="27" t="s">
        <v>211</v>
      </c>
      <c r="G10" s="27">
        <f>G9+G8</f>
        <v>2044</v>
      </c>
    </row>
    <row r="11" spans="1:8" x14ac:dyDescent="0.3">
      <c r="A11" s="704" t="s">
        <v>214</v>
      </c>
      <c r="B11" s="707" t="s">
        <v>188</v>
      </c>
      <c r="C11" s="710" t="s">
        <v>215</v>
      </c>
      <c r="D11" s="704" t="s">
        <v>216</v>
      </c>
      <c r="E11" s="704" t="s">
        <v>217</v>
      </c>
      <c r="F11" s="103"/>
    </row>
    <row r="12" spans="1:8" x14ac:dyDescent="0.3">
      <c r="A12" s="705"/>
      <c r="B12" s="708"/>
      <c r="C12" s="711"/>
      <c r="D12" s="705"/>
      <c r="E12" s="705"/>
      <c r="F12" s="103"/>
    </row>
    <row r="13" spans="1:8" ht="25.8" customHeight="1" thickBot="1" x14ac:dyDescent="0.35">
      <c r="A13" s="706"/>
      <c r="B13" s="709"/>
      <c r="C13" s="712"/>
      <c r="D13" s="706"/>
      <c r="E13" s="706"/>
      <c r="F13" s="103"/>
    </row>
    <row r="14" spans="1:8" ht="15" thickBot="1" x14ac:dyDescent="0.35">
      <c r="A14" s="99" t="s">
        <v>189</v>
      </c>
      <c r="B14" s="30" t="s">
        <v>181</v>
      </c>
      <c r="C14" s="30">
        <v>1</v>
      </c>
      <c r="D14" s="31">
        <f>G4*C14/1000</f>
        <v>2.1893600000000002</v>
      </c>
      <c r="E14" s="99">
        <v>3</v>
      </c>
      <c r="F14" s="104"/>
    </row>
    <row r="15" spans="1:8" x14ac:dyDescent="0.3">
      <c r="A15" s="697" t="s">
        <v>218</v>
      </c>
      <c r="B15" s="699" t="s">
        <v>181</v>
      </c>
      <c r="C15" s="697">
        <v>0.9</v>
      </c>
      <c r="D15" s="701">
        <f>G3*C15/1000</f>
        <v>1.9704240000000002</v>
      </c>
      <c r="E15" s="697">
        <v>1</v>
      </c>
      <c r="F15" s="694"/>
    </row>
    <row r="16" spans="1:8" ht="15" thickBot="1" x14ac:dyDescent="0.35">
      <c r="A16" s="698"/>
      <c r="B16" s="700"/>
      <c r="C16" s="698"/>
      <c r="D16" s="702"/>
      <c r="E16" s="698"/>
      <c r="F16" s="694"/>
    </row>
    <row r="17" spans="1:6" ht="15" thickBot="1" x14ac:dyDescent="0.35">
      <c r="A17" s="99" t="s">
        <v>190</v>
      </c>
      <c r="B17" s="30" t="s">
        <v>184</v>
      </c>
      <c r="C17" s="30">
        <v>0.5</v>
      </c>
      <c r="D17" s="32">
        <f>G6*C17/1000</f>
        <v>0.31518000000000002</v>
      </c>
      <c r="E17" s="99">
        <v>1</v>
      </c>
      <c r="F17" s="105"/>
    </row>
    <row r="18" spans="1:6" ht="27" thickBot="1" x14ac:dyDescent="0.35">
      <c r="A18" s="99" t="s">
        <v>219</v>
      </c>
      <c r="B18" s="30" t="s">
        <v>185</v>
      </c>
      <c r="C18" s="30">
        <v>0.4</v>
      </c>
      <c r="D18" s="32">
        <f>G7*C18/1000</f>
        <v>5.8144000000000008E-2</v>
      </c>
      <c r="E18" s="99">
        <v>1</v>
      </c>
      <c r="F18" s="104"/>
    </row>
    <row r="19" spans="1:6" ht="15" thickBot="1" x14ac:dyDescent="0.35">
      <c r="A19" s="99" t="s">
        <v>191</v>
      </c>
      <c r="B19" s="30" t="s">
        <v>185</v>
      </c>
      <c r="C19" s="30">
        <v>1.3</v>
      </c>
      <c r="D19" s="31">
        <f>G7*C19/1000</f>
        <v>0.18896800000000002</v>
      </c>
      <c r="E19" s="99">
        <v>1</v>
      </c>
      <c r="F19" s="105"/>
    </row>
    <row r="20" spans="1:6" ht="15" thickBot="1" x14ac:dyDescent="0.35">
      <c r="A20" s="99" t="s">
        <v>192</v>
      </c>
      <c r="B20" s="30" t="s">
        <v>185</v>
      </c>
      <c r="C20" s="30">
        <v>0.4</v>
      </c>
      <c r="D20" s="32">
        <f>G7*C20/1000</f>
        <v>5.8144000000000008E-2</v>
      </c>
      <c r="E20" s="99"/>
      <c r="F20" s="104"/>
    </row>
    <row r="21" spans="1:6" ht="15" thickBot="1" x14ac:dyDescent="0.35">
      <c r="A21" s="99" t="s">
        <v>193</v>
      </c>
      <c r="B21" s="30" t="s">
        <v>185</v>
      </c>
      <c r="C21" s="30">
        <v>0.15</v>
      </c>
      <c r="D21" s="32">
        <f>G7*C21/1000</f>
        <v>2.1804E-2</v>
      </c>
      <c r="E21" s="99"/>
      <c r="F21" s="104"/>
    </row>
    <row r="22" spans="1:6" ht="15" thickBot="1" x14ac:dyDescent="0.35">
      <c r="A22" s="99" t="s">
        <v>220</v>
      </c>
      <c r="B22" s="30" t="s">
        <v>186</v>
      </c>
      <c r="C22" s="30">
        <v>2</v>
      </c>
      <c r="D22" s="31">
        <f>G8*C22/1000</f>
        <v>0.97</v>
      </c>
      <c r="E22" s="99">
        <v>1</v>
      </c>
      <c r="F22" s="105"/>
    </row>
    <row r="23" spans="1:6" ht="15" thickBot="1" x14ac:dyDescent="0.35">
      <c r="A23" s="99" t="s">
        <v>194</v>
      </c>
      <c r="B23" s="30" t="s">
        <v>186</v>
      </c>
      <c r="C23" s="30">
        <v>0.7</v>
      </c>
      <c r="D23" s="32">
        <f>G8*C23/1000</f>
        <v>0.33950000000000002</v>
      </c>
      <c r="E23" s="99"/>
      <c r="F23" s="104"/>
    </row>
    <row r="24" spans="1:6" ht="15" thickBot="1" x14ac:dyDescent="0.35">
      <c r="A24" s="99" t="s">
        <v>195</v>
      </c>
      <c r="B24" s="30" t="s">
        <v>186</v>
      </c>
      <c r="C24" s="30">
        <v>2.4</v>
      </c>
      <c r="D24" s="31">
        <f>G8*C24/1000</f>
        <v>1.1639999999999999</v>
      </c>
      <c r="E24" s="99">
        <v>1</v>
      </c>
      <c r="F24" s="105"/>
    </row>
    <row r="25" spans="1:6" ht="15" thickBot="1" x14ac:dyDescent="0.35">
      <c r="A25" s="99" t="s">
        <v>196</v>
      </c>
      <c r="B25" s="30" t="s">
        <v>182</v>
      </c>
      <c r="C25" s="30">
        <v>0.65</v>
      </c>
      <c r="D25" s="32">
        <f>G4*C25/1000</f>
        <v>1.423084</v>
      </c>
      <c r="E25" s="99">
        <v>1</v>
      </c>
      <c r="F25" s="105"/>
    </row>
    <row r="26" spans="1:6" ht="15" thickBot="1" x14ac:dyDescent="0.35">
      <c r="A26" s="99" t="s">
        <v>221</v>
      </c>
      <c r="B26" s="30" t="s">
        <v>198</v>
      </c>
      <c r="C26" s="30">
        <v>1.3</v>
      </c>
      <c r="D26" s="33">
        <f>G6*C26/1000</f>
        <v>0.81946800000000009</v>
      </c>
      <c r="E26" s="99">
        <v>1</v>
      </c>
      <c r="F26" s="104"/>
    </row>
    <row r="27" spans="1:6" ht="27" thickBot="1" x14ac:dyDescent="0.35">
      <c r="A27" s="99" t="s">
        <v>222</v>
      </c>
      <c r="B27" s="30" t="s">
        <v>186</v>
      </c>
      <c r="C27" s="30">
        <v>1.3</v>
      </c>
      <c r="D27" s="32">
        <f>G8*C27/1000</f>
        <v>0.63049999999999995</v>
      </c>
      <c r="E27" s="99">
        <v>1</v>
      </c>
      <c r="F27" s="104"/>
    </row>
    <row r="28" spans="1:6" ht="15" thickBot="1" x14ac:dyDescent="0.35">
      <c r="A28" s="99" t="s">
        <v>197</v>
      </c>
      <c r="B28" s="30" t="s">
        <v>198</v>
      </c>
      <c r="C28" s="30">
        <v>1.3</v>
      </c>
      <c r="D28" s="33">
        <f>G6*C28/1000</f>
        <v>0.81946800000000009</v>
      </c>
      <c r="E28" s="99">
        <v>1</v>
      </c>
      <c r="F28" s="104"/>
    </row>
    <row r="29" spans="1:6" ht="27" thickBot="1" x14ac:dyDescent="0.35">
      <c r="A29" s="99" t="s">
        <v>199</v>
      </c>
      <c r="B29" s="30" t="s">
        <v>186</v>
      </c>
      <c r="C29" s="30">
        <v>0.65</v>
      </c>
      <c r="D29" s="33">
        <f>G8*C29/1000</f>
        <v>0.31524999999999997</v>
      </c>
      <c r="E29" s="99"/>
      <c r="F29" s="104"/>
    </row>
    <row r="30" spans="1:6" ht="15" thickBot="1" x14ac:dyDescent="0.35">
      <c r="A30" s="99" t="s">
        <v>200</v>
      </c>
      <c r="B30" s="30" t="s">
        <v>187</v>
      </c>
      <c r="C30" s="30">
        <v>1.3</v>
      </c>
      <c r="D30" s="32">
        <f>G4*C30/1000</f>
        <v>2.846168</v>
      </c>
      <c r="E30" s="99">
        <v>1</v>
      </c>
      <c r="F30" s="105"/>
    </row>
    <row r="31" spans="1:6" ht="15" thickBot="1" x14ac:dyDescent="0.35">
      <c r="A31" s="99" t="s">
        <v>201</v>
      </c>
      <c r="B31" s="30" t="s">
        <v>187</v>
      </c>
      <c r="C31" s="30">
        <v>0.25</v>
      </c>
      <c r="D31" s="32">
        <f>G4*C31/1000</f>
        <v>0.54734000000000005</v>
      </c>
      <c r="E31" s="99"/>
      <c r="F31" s="104"/>
    </row>
    <row r="32" spans="1:6" ht="15" thickBot="1" x14ac:dyDescent="0.35">
      <c r="A32" s="99" t="s">
        <v>202</v>
      </c>
      <c r="B32" s="30" t="s">
        <v>184</v>
      </c>
      <c r="C32" s="30">
        <v>1.3</v>
      </c>
      <c r="D32" s="32">
        <f>G6*C32/1000</f>
        <v>0.81946800000000009</v>
      </c>
      <c r="E32" s="99">
        <v>1</v>
      </c>
      <c r="F32" s="104"/>
    </row>
    <row r="33" spans="1:6" ht="15" thickBot="1" x14ac:dyDescent="0.35">
      <c r="A33" s="34" t="s">
        <v>223</v>
      </c>
      <c r="B33" s="35"/>
      <c r="C33" s="36"/>
      <c r="D33" s="44">
        <f>SUM(D14:D32)</f>
        <v>15.496270000000003</v>
      </c>
      <c r="E33" s="34">
        <f>SUM(E14:E32)</f>
        <v>15</v>
      </c>
      <c r="F33" s="106"/>
    </row>
    <row r="34" spans="1:6" ht="15" thickBot="1" x14ac:dyDescent="0.35">
      <c r="A34" s="100" t="s">
        <v>224</v>
      </c>
      <c r="B34" s="101"/>
      <c r="C34" s="102"/>
      <c r="D34" s="456">
        <f>D33*1.2</f>
        <v>18.595524000000001</v>
      </c>
      <c r="E34" s="456">
        <f>E33*1.2</f>
        <v>18</v>
      </c>
      <c r="F34" s="106"/>
    </row>
    <row r="35" spans="1:6" ht="15" thickBot="1" x14ac:dyDescent="0.35">
      <c r="A35" s="40" t="s">
        <v>203</v>
      </c>
      <c r="B35" s="39" t="s">
        <v>184</v>
      </c>
      <c r="C35" s="39">
        <v>1.3</v>
      </c>
      <c r="D35" s="41">
        <f>G6*C35/1000</f>
        <v>0.81946800000000009</v>
      </c>
      <c r="E35" s="40">
        <v>1</v>
      </c>
      <c r="F35" s="106"/>
    </row>
    <row r="36" spans="1:6" ht="15" thickBot="1" x14ac:dyDescent="0.35">
      <c r="A36" s="99" t="s">
        <v>204</v>
      </c>
      <c r="B36" s="30" t="s">
        <v>187</v>
      </c>
      <c r="C36" s="30">
        <v>0.7</v>
      </c>
      <c r="D36" s="32">
        <f>G4*C36/1000</f>
        <v>1.5325519999999999</v>
      </c>
      <c r="E36" s="99">
        <v>1</v>
      </c>
      <c r="F36" s="104"/>
    </row>
    <row r="37" spans="1:6" ht="15" thickBot="1" x14ac:dyDescent="0.35">
      <c r="A37" s="99" t="s">
        <v>205</v>
      </c>
      <c r="B37" s="30" t="s">
        <v>184</v>
      </c>
      <c r="C37" s="30">
        <v>1.3</v>
      </c>
      <c r="D37" s="33">
        <f>G6*C37/1000</f>
        <v>0.81946800000000009</v>
      </c>
      <c r="E37" s="99">
        <v>1</v>
      </c>
      <c r="F37" s="104"/>
    </row>
    <row r="38" spans="1:6" ht="15" thickBot="1" x14ac:dyDescent="0.35">
      <c r="A38" s="99" t="s">
        <v>206</v>
      </c>
      <c r="B38" s="30" t="s">
        <v>187</v>
      </c>
      <c r="C38" s="30">
        <v>0.4</v>
      </c>
      <c r="D38" s="42">
        <f>G4*C38/1000</f>
        <v>0.87574400000000019</v>
      </c>
      <c r="E38" s="99">
        <v>1</v>
      </c>
      <c r="F38" s="105"/>
    </row>
    <row r="39" spans="1:6" ht="15" thickBot="1" x14ac:dyDescent="0.35">
      <c r="A39" s="99" t="s">
        <v>207</v>
      </c>
      <c r="B39" s="30" t="s">
        <v>185</v>
      </c>
      <c r="C39" s="30">
        <v>1.3</v>
      </c>
      <c r="D39" s="33">
        <f>G7*C39/1000</f>
        <v>0.18896800000000002</v>
      </c>
      <c r="E39" s="99">
        <v>1</v>
      </c>
      <c r="F39" s="105"/>
    </row>
    <row r="40" spans="1:6" ht="27" thickBot="1" x14ac:dyDescent="0.35">
      <c r="A40" s="99" t="s">
        <v>225</v>
      </c>
      <c r="B40" s="30" t="s">
        <v>185</v>
      </c>
      <c r="C40" s="30">
        <v>0.15</v>
      </c>
      <c r="D40" s="33">
        <f>G7*C40/1000</f>
        <v>2.1804E-2</v>
      </c>
      <c r="E40" s="99" t="s">
        <v>123</v>
      </c>
      <c r="F40" s="104"/>
    </row>
    <row r="41" spans="1:6" ht="15" thickBot="1" x14ac:dyDescent="0.35">
      <c r="A41" s="99" t="s">
        <v>208</v>
      </c>
      <c r="B41" s="30" t="s">
        <v>186</v>
      </c>
      <c r="C41" s="30">
        <v>1.3</v>
      </c>
      <c r="D41" s="32">
        <f>G8*C41/1000</f>
        <v>0.63049999999999995</v>
      </c>
      <c r="E41" s="99"/>
      <c r="F41" s="105"/>
    </row>
    <row r="42" spans="1:6" ht="15" thickBot="1" x14ac:dyDescent="0.35">
      <c r="A42" s="99" t="s">
        <v>209</v>
      </c>
      <c r="B42" s="30" t="s">
        <v>183</v>
      </c>
      <c r="C42" s="30">
        <v>1.3</v>
      </c>
      <c r="D42" s="33">
        <f>G5*C42/1000</f>
        <v>2.215668</v>
      </c>
      <c r="E42" s="99">
        <v>1</v>
      </c>
      <c r="F42" s="104"/>
    </row>
    <row r="43" spans="1:6" ht="27" thickBot="1" x14ac:dyDescent="0.35">
      <c r="A43" s="99" t="s">
        <v>210</v>
      </c>
      <c r="B43" s="30" t="s">
        <v>185</v>
      </c>
      <c r="C43" s="30">
        <v>1</v>
      </c>
      <c r="D43" s="32">
        <f>G7*C43/1000</f>
        <v>0.14536000000000002</v>
      </c>
      <c r="E43" s="99">
        <v>1</v>
      </c>
      <c r="F43" s="104"/>
    </row>
    <row r="44" spans="1:6" ht="27" thickBot="1" x14ac:dyDescent="0.35">
      <c r="A44" s="99" t="s">
        <v>226</v>
      </c>
      <c r="B44" s="30" t="s">
        <v>186</v>
      </c>
      <c r="C44" s="30">
        <v>2.5</v>
      </c>
      <c r="D44" s="33">
        <f>G8*C44/1000</f>
        <v>1.2124999999999999</v>
      </c>
      <c r="E44" s="99">
        <v>1</v>
      </c>
      <c r="F44" s="104"/>
    </row>
    <row r="45" spans="1:6" ht="15" thickBot="1" x14ac:dyDescent="0.35">
      <c r="A45" s="99" t="s">
        <v>227</v>
      </c>
      <c r="B45" s="30" t="s">
        <v>211</v>
      </c>
      <c r="C45" s="30">
        <v>0.15</v>
      </c>
      <c r="D45" s="32">
        <f>G10*C45/1000</f>
        <v>0.30659999999999998</v>
      </c>
      <c r="E45" s="99" t="s">
        <v>123</v>
      </c>
      <c r="F45" s="104"/>
    </row>
    <row r="46" spans="1:6" ht="27" thickBot="1" x14ac:dyDescent="0.35">
      <c r="A46" s="99" t="s">
        <v>212</v>
      </c>
      <c r="B46" s="30" t="s">
        <v>185</v>
      </c>
      <c r="C46" s="30">
        <v>0.8</v>
      </c>
      <c r="D46" s="32">
        <f>G7*C46/1000</f>
        <v>0.11628800000000002</v>
      </c>
      <c r="E46" s="99">
        <v>1</v>
      </c>
      <c r="F46" s="104"/>
    </row>
    <row r="47" spans="1:6" ht="15" thickBot="1" x14ac:dyDescent="0.35">
      <c r="A47" s="37" t="s">
        <v>228</v>
      </c>
      <c r="B47" s="38"/>
      <c r="C47" s="39"/>
      <c r="D47" s="43">
        <f>SUM(D35:D46)</f>
        <v>8.884920000000001</v>
      </c>
      <c r="E47" s="37">
        <v>9</v>
      </c>
      <c r="F47" s="106"/>
    </row>
    <row r="48" spans="1:6" ht="27" thickBot="1" x14ac:dyDescent="0.35">
      <c r="A48" s="34" t="s">
        <v>229</v>
      </c>
      <c r="B48" s="35"/>
      <c r="C48" s="36"/>
      <c r="D48" s="44">
        <f>D47*1.2</f>
        <v>10.661904000000002</v>
      </c>
      <c r="E48" s="44">
        <f>E47*1.2</f>
        <v>10.799999999999999</v>
      </c>
      <c r="F48" s="106"/>
    </row>
    <row r="49" spans="1:7" ht="26.25" customHeight="1" thickBot="1" x14ac:dyDescent="0.35">
      <c r="A49" s="45" t="s">
        <v>230</v>
      </c>
      <c r="B49" s="36"/>
      <c r="C49" s="36"/>
      <c r="D49" s="44">
        <f>D34+D48</f>
        <v>29.257428000000004</v>
      </c>
      <c r="E49" s="44">
        <f>E34+E48</f>
        <v>28.799999999999997</v>
      </c>
      <c r="F49" s="106"/>
    </row>
    <row r="50" spans="1:7" ht="50.25" customHeight="1" x14ac:dyDescent="0.3">
      <c r="A50" s="695" t="s">
        <v>231</v>
      </c>
      <c r="B50" s="695"/>
      <c r="C50" s="695"/>
      <c r="D50" s="695"/>
      <c r="E50" s="695"/>
      <c r="F50" s="696"/>
      <c r="G50" s="46"/>
    </row>
    <row r="51" spans="1:7" x14ac:dyDescent="0.3">
      <c r="A51" t="s">
        <v>466</v>
      </c>
    </row>
  </sheetData>
  <mergeCells count="14">
    <mergeCell ref="A4:E4"/>
    <mergeCell ref="A5:E5"/>
    <mergeCell ref="A11:A13"/>
    <mergeCell ref="B11:B13"/>
    <mergeCell ref="C11:C13"/>
    <mergeCell ref="D11:D13"/>
    <mergeCell ref="E11:E13"/>
    <mergeCell ref="F15:F16"/>
    <mergeCell ref="A50:F50"/>
    <mergeCell ref="A15:A16"/>
    <mergeCell ref="B15:B16"/>
    <mergeCell ref="C15:C16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8"/>
  <sheetViews>
    <sheetView topLeftCell="A43" workbookViewId="0">
      <selection activeCell="D56" sqref="D56:H56"/>
    </sheetView>
  </sheetViews>
  <sheetFormatPr defaultColWidth="8.77734375" defaultRowHeight="14.4" x14ac:dyDescent="0.3"/>
  <cols>
    <col min="1" max="1" width="6" style="9" customWidth="1"/>
    <col min="2" max="2" width="48.88671875" style="9" customWidth="1"/>
    <col min="3" max="3" width="12.109375" style="9" customWidth="1"/>
    <col min="4" max="4" width="11" style="9" customWidth="1"/>
    <col min="5" max="5" width="9.6640625" style="9" customWidth="1"/>
    <col min="6" max="6" width="9.77734375" style="9" customWidth="1"/>
    <col min="7" max="7" width="10.33203125" style="9" customWidth="1"/>
    <col min="8" max="8" width="9.88671875" style="9" customWidth="1"/>
    <col min="9" max="16384" width="8.77734375" style="9"/>
  </cols>
  <sheetData>
    <row r="1" spans="1:8" ht="33.75" customHeight="1" x14ac:dyDescent="0.3">
      <c r="B1" s="462" t="s">
        <v>432</v>
      </c>
      <c r="C1" s="462"/>
    </row>
    <row r="2" spans="1:8" x14ac:dyDescent="0.3">
      <c r="B2" s="463"/>
      <c r="C2" s="462"/>
      <c r="D2" s="9" t="s">
        <v>292</v>
      </c>
    </row>
    <row r="3" spans="1:8" ht="28.8" x14ac:dyDescent="0.3">
      <c r="A3" s="47" t="s">
        <v>355</v>
      </c>
      <c r="B3" s="47" t="s">
        <v>151</v>
      </c>
      <c r="C3" s="48" t="s">
        <v>843</v>
      </c>
      <c r="D3" s="47" t="s">
        <v>915</v>
      </c>
      <c r="E3" s="47" t="s">
        <v>867</v>
      </c>
      <c r="F3" s="47" t="s">
        <v>916</v>
      </c>
      <c r="G3" s="47" t="s">
        <v>917</v>
      </c>
      <c r="H3" s="47" t="s">
        <v>914</v>
      </c>
    </row>
    <row r="4" spans="1:8" x14ac:dyDescent="0.3">
      <c r="A4" s="47">
        <v>1</v>
      </c>
      <c r="B4" s="28" t="s">
        <v>356</v>
      </c>
      <c r="C4" s="47"/>
      <c r="D4" s="47"/>
      <c r="E4" s="47"/>
      <c r="F4" s="47"/>
      <c r="G4" s="47"/>
      <c r="H4" s="47"/>
    </row>
    <row r="5" spans="1:8" ht="22.5" customHeight="1" x14ac:dyDescent="0.3">
      <c r="A5" s="215" t="s">
        <v>584</v>
      </c>
      <c r="B5" s="94" t="s">
        <v>585</v>
      </c>
      <c r="C5" s="94">
        <f t="shared" ref="C5" si="0">C6+C9</f>
        <v>7718.16</v>
      </c>
      <c r="D5" s="94">
        <f t="shared" ref="D5:H5" si="1">D6+D9</f>
        <v>11773.53</v>
      </c>
      <c r="E5" s="94">
        <f t="shared" si="1"/>
        <v>12512.779999999999</v>
      </c>
      <c r="F5" s="94">
        <f t="shared" si="1"/>
        <v>13837.91</v>
      </c>
      <c r="G5" s="94">
        <f t="shared" si="1"/>
        <v>13796.16</v>
      </c>
      <c r="H5" s="94">
        <f t="shared" si="1"/>
        <v>15256.02</v>
      </c>
    </row>
    <row r="6" spans="1:8" ht="25.5" customHeight="1" x14ac:dyDescent="0.3">
      <c r="A6" s="211" t="s">
        <v>586</v>
      </c>
      <c r="B6" s="48" t="s">
        <v>550</v>
      </c>
      <c r="C6" s="47">
        <v>5400.66</v>
      </c>
      <c r="D6" s="47">
        <v>9456.0300000000007</v>
      </c>
      <c r="E6" s="47">
        <v>10079.4</v>
      </c>
      <c r="F6" s="47">
        <v>11282.87</v>
      </c>
      <c r="G6" s="47">
        <v>11113.36</v>
      </c>
      <c r="H6" s="47">
        <v>12439.08</v>
      </c>
    </row>
    <row r="7" spans="1:8" x14ac:dyDescent="0.3">
      <c r="A7" s="211" t="s">
        <v>587</v>
      </c>
      <c r="B7" s="48" t="s">
        <v>544</v>
      </c>
      <c r="C7" s="47">
        <v>1962.26</v>
      </c>
      <c r="D7" s="47">
        <v>2171.7199999999998</v>
      </c>
      <c r="E7" s="47">
        <v>2280.3000000000002</v>
      </c>
      <c r="F7" s="47">
        <v>2394.3200000000002</v>
      </c>
      <c r="G7" s="47">
        <v>2514.0300000000002</v>
      </c>
      <c r="H7" s="47">
        <v>2639.73</v>
      </c>
    </row>
    <row r="8" spans="1:8" x14ac:dyDescent="0.3">
      <c r="A8" s="211" t="s">
        <v>588</v>
      </c>
      <c r="B8" s="48" t="s">
        <v>589</v>
      </c>
      <c r="C8" s="47">
        <f>C6-1962.26</f>
        <v>3438.3999999999996</v>
      </c>
      <c r="D8" s="47">
        <f>D6-D7</f>
        <v>7284.3100000000013</v>
      </c>
      <c r="E8" s="47">
        <v>4037.81</v>
      </c>
      <c r="F8" s="47">
        <v>4939.1899999999996</v>
      </c>
      <c r="G8" s="47">
        <v>4452.5</v>
      </c>
      <c r="H8" s="47">
        <v>5445.18</v>
      </c>
    </row>
    <row r="9" spans="1:8" ht="35.549999999999997" customHeight="1" x14ac:dyDescent="0.3">
      <c r="A9" s="211" t="s">
        <v>591</v>
      </c>
      <c r="B9" s="48" t="s">
        <v>590</v>
      </c>
      <c r="C9" s="47">
        <v>2317.5</v>
      </c>
      <c r="D9" s="47">
        <v>2317.5</v>
      </c>
      <c r="E9" s="47">
        <v>2433.38</v>
      </c>
      <c r="F9" s="47">
        <v>2555.04</v>
      </c>
      <c r="G9" s="47">
        <v>2682.8</v>
      </c>
      <c r="H9" s="47">
        <v>2816.94</v>
      </c>
    </row>
    <row r="10" spans="1:8" x14ac:dyDescent="0.3">
      <c r="A10" s="214" t="s">
        <v>592</v>
      </c>
      <c r="B10" s="94" t="s">
        <v>357</v>
      </c>
      <c r="C10" s="94">
        <v>50917.760000000002</v>
      </c>
      <c r="D10" s="94">
        <v>112040.5</v>
      </c>
      <c r="E10" s="94">
        <v>117642.53</v>
      </c>
      <c r="F10" s="94">
        <v>123524.65</v>
      </c>
      <c r="G10" s="94">
        <v>129700.88</v>
      </c>
      <c r="H10" s="94">
        <v>136185.93</v>
      </c>
    </row>
    <row r="11" spans="1:8" x14ac:dyDescent="0.3">
      <c r="A11" s="214" t="s">
        <v>593</v>
      </c>
      <c r="B11" s="94" t="s">
        <v>358</v>
      </c>
      <c r="C11" s="94">
        <f>C12+C13</f>
        <v>10294.060000000001</v>
      </c>
      <c r="D11" s="209">
        <f t="shared" ref="D11:H11" si="2">D12+D13</f>
        <v>9132.869999999999</v>
      </c>
      <c r="E11" s="209">
        <f t="shared" si="2"/>
        <v>9587.1260000000002</v>
      </c>
      <c r="F11" s="209">
        <f t="shared" si="2"/>
        <v>10064.086800000001</v>
      </c>
      <c r="G11" s="209">
        <f t="shared" si="2"/>
        <v>10564.90214</v>
      </c>
      <c r="H11" s="209">
        <f t="shared" si="2"/>
        <v>11090.761247</v>
      </c>
    </row>
    <row r="12" spans="1:8" x14ac:dyDescent="0.3">
      <c r="A12" s="216" t="s">
        <v>594</v>
      </c>
      <c r="B12" s="48" t="s">
        <v>595</v>
      </c>
      <c r="C12" s="47">
        <v>7466.27</v>
      </c>
      <c r="D12" s="47">
        <v>5967.15</v>
      </c>
      <c r="E12" s="47">
        <v>6265.51</v>
      </c>
      <c r="F12" s="47">
        <v>6578.78</v>
      </c>
      <c r="G12" s="47">
        <v>6907.72</v>
      </c>
      <c r="H12" s="47">
        <v>7253.11</v>
      </c>
    </row>
    <row r="13" spans="1:8" x14ac:dyDescent="0.3">
      <c r="A13" s="216" t="s">
        <v>596</v>
      </c>
      <c r="B13" s="47" t="s">
        <v>597</v>
      </c>
      <c r="C13" s="47">
        <f>C14+C15+C16+C18+C24+C25+C26+C29</f>
        <v>2827.79</v>
      </c>
      <c r="D13" s="204">
        <f t="shared" ref="D13:H13" si="3">D14+D15+D16+D17+D18+D19+D20+D21+D22+D23+D25+D26+D24+D27+D28+D29</f>
        <v>3165.7200000000003</v>
      </c>
      <c r="E13" s="204">
        <f t="shared" si="3"/>
        <v>3321.616</v>
      </c>
      <c r="F13" s="204">
        <f t="shared" si="3"/>
        <v>3485.3068000000003</v>
      </c>
      <c r="G13" s="204">
        <f t="shared" si="3"/>
        <v>3657.1821400000003</v>
      </c>
      <c r="H13" s="204">
        <f t="shared" si="3"/>
        <v>3837.6512470000007</v>
      </c>
    </row>
    <row r="14" spans="1:8" ht="13.95" customHeight="1" x14ac:dyDescent="0.3">
      <c r="A14" s="211" t="s">
        <v>598</v>
      </c>
      <c r="B14" s="47" t="s">
        <v>235</v>
      </c>
      <c r="C14" s="47">
        <v>466.8</v>
      </c>
      <c r="D14" s="47">
        <v>596.49</v>
      </c>
      <c r="E14" s="204">
        <f>D14*1.05</f>
        <v>626.31450000000007</v>
      </c>
      <c r="F14" s="204">
        <f t="shared" ref="F14:H14" si="4">E14*1.05</f>
        <v>657.63022500000011</v>
      </c>
      <c r="G14" s="204">
        <f t="shared" si="4"/>
        <v>690.51173625000013</v>
      </c>
      <c r="H14" s="204">
        <f t="shared" si="4"/>
        <v>725.03732306250015</v>
      </c>
    </row>
    <row r="15" spans="1:8" ht="13.95" customHeight="1" x14ac:dyDescent="0.3">
      <c r="A15" s="212" t="s">
        <v>612</v>
      </c>
      <c r="B15" s="48" t="s">
        <v>599</v>
      </c>
      <c r="C15" s="47">
        <v>214.05</v>
      </c>
      <c r="D15" s="47">
        <v>214.05</v>
      </c>
      <c r="E15" s="204">
        <f t="shared" ref="E15:H15" si="5">D15*1.05</f>
        <v>224.75250000000003</v>
      </c>
      <c r="F15" s="204">
        <f t="shared" si="5"/>
        <v>235.99012500000003</v>
      </c>
      <c r="G15" s="204">
        <f t="shared" si="5"/>
        <v>247.78963125000004</v>
      </c>
      <c r="H15" s="204">
        <f t="shared" si="5"/>
        <v>260.17911281250008</v>
      </c>
    </row>
    <row r="16" spans="1:8" ht="13.95" customHeight="1" x14ac:dyDescent="0.3">
      <c r="A16" s="212" t="s">
        <v>613</v>
      </c>
      <c r="B16" s="47" t="s">
        <v>600</v>
      </c>
      <c r="C16" s="204">
        <f>20.17+14.61+46.5</f>
        <v>81.28</v>
      </c>
      <c r="D16" s="47">
        <f>21.12+43.1+48.96</f>
        <v>113.18</v>
      </c>
      <c r="E16" s="204">
        <f t="shared" ref="E16:H16" si="6">D16*1.05</f>
        <v>118.83900000000001</v>
      </c>
      <c r="F16" s="204">
        <f t="shared" si="6"/>
        <v>124.78095000000002</v>
      </c>
      <c r="G16" s="204">
        <f t="shared" si="6"/>
        <v>131.01999750000002</v>
      </c>
      <c r="H16" s="204">
        <f t="shared" si="6"/>
        <v>137.57099737500002</v>
      </c>
    </row>
    <row r="17" spans="1:8" ht="13.95" customHeight="1" x14ac:dyDescent="0.3">
      <c r="A17" s="212" t="s">
        <v>614</v>
      </c>
      <c r="B17" s="48" t="s">
        <v>601</v>
      </c>
      <c r="C17" s="47"/>
      <c r="D17" s="47"/>
      <c r="E17" s="47"/>
      <c r="F17" s="47"/>
      <c r="G17" s="47"/>
      <c r="H17" s="47"/>
    </row>
    <row r="18" spans="1:8" ht="13.95" customHeight="1" x14ac:dyDescent="0.3">
      <c r="A18" s="212" t="s">
        <v>615</v>
      </c>
      <c r="B18" s="48" t="s">
        <v>565</v>
      </c>
      <c r="C18" s="47">
        <v>455.06</v>
      </c>
      <c r="D18" s="47">
        <f>417.55+116.01</f>
        <v>533.56000000000006</v>
      </c>
      <c r="E18" s="204">
        <f>D18*1.05</f>
        <v>560.23800000000006</v>
      </c>
      <c r="F18" s="204">
        <f t="shared" ref="F18:H18" si="7">E18*1.05</f>
        <v>588.24990000000014</v>
      </c>
      <c r="G18" s="204">
        <f t="shared" si="7"/>
        <v>617.66239500000017</v>
      </c>
      <c r="H18" s="204">
        <f t="shared" si="7"/>
        <v>648.54551475000017</v>
      </c>
    </row>
    <row r="19" spans="1:8" ht="13.95" customHeight="1" x14ac:dyDescent="0.3">
      <c r="A19" s="212" t="s">
        <v>616</v>
      </c>
      <c r="B19" s="48" t="s">
        <v>602</v>
      </c>
      <c r="C19" s="47"/>
      <c r="D19" s="47"/>
      <c r="E19" s="47"/>
      <c r="F19" s="47"/>
      <c r="G19" s="47"/>
      <c r="H19" s="47"/>
    </row>
    <row r="20" spans="1:8" ht="13.05" customHeight="1" x14ac:dyDescent="0.3">
      <c r="A20" s="212" t="s">
        <v>617</v>
      </c>
      <c r="B20" s="48" t="s">
        <v>603</v>
      </c>
      <c r="C20" s="47"/>
      <c r="D20" s="47"/>
      <c r="E20" s="47"/>
      <c r="F20" s="47"/>
      <c r="G20" s="47"/>
      <c r="H20" s="47"/>
    </row>
    <row r="21" spans="1:8" ht="13.05" customHeight="1" x14ac:dyDescent="0.3">
      <c r="A21" s="212" t="s">
        <v>618</v>
      </c>
      <c r="B21" s="48" t="s">
        <v>604</v>
      </c>
      <c r="C21" s="47"/>
      <c r="D21" s="47"/>
      <c r="E21" s="47"/>
      <c r="F21" s="47"/>
      <c r="G21" s="47"/>
      <c r="H21" s="47"/>
    </row>
    <row r="22" spans="1:8" x14ac:dyDescent="0.3">
      <c r="A22" s="212" t="s">
        <v>619</v>
      </c>
      <c r="B22" s="48" t="s">
        <v>605</v>
      </c>
      <c r="C22" s="47"/>
      <c r="D22" s="47"/>
      <c r="E22" s="47"/>
      <c r="F22" s="47"/>
      <c r="G22" s="47"/>
      <c r="H22" s="47"/>
    </row>
    <row r="23" spans="1:8" ht="28.8" x14ac:dyDescent="0.3">
      <c r="A23" s="212" t="s">
        <v>620</v>
      </c>
      <c r="B23" s="48" t="s">
        <v>607</v>
      </c>
      <c r="C23" s="47"/>
      <c r="D23" s="47"/>
      <c r="E23" s="47"/>
      <c r="F23" s="47"/>
      <c r="G23" s="47"/>
      <c r="H23" s="47"/>
    </row>
    <row r="24" spans="1:8" ht="28.8" x14ac:dyDescent="0.3">
      <c r="A24" s="212" t="s">
        <v>621</v>
      </c>
      <c r="B24" s="48" t="s">
        <v>606</v>
      </c>
      <c r="C24" s="47">
        <v>75.37</v>
      </c>
      <c r="D24" s="204">
        <f>263.2+59.4</f>
        <v>322.59999999999997</v>
      </c>
      <c r="E24" s="204">
        <f t="shared" ref="E24:H24" si="8">D24*1.05</f>
        <v>338.72999999999996</v>
      </c>
      <c r="F24" s="204">
        <f t="shared" si="8"/>
        <v>355.66649999999998</v>
      </c>
      <c r="G24" s="204">
        <f t="shared" si="8"/>
        <v>373.44982499999998</v>
      </c>
      <c r="H24" s="204">
        <f t="shared" si="8"/>
        <v>392.12231624999998</v>
      </c>
    </row>
    <row r="25" spans="1:8" x14ac:dyDescent="0.3">
      <c r="A25" s="212" t="s">
        <v>622</v>
      </c>
      <c r="B25" s="206" t="s">
        <v>608</v>
      </c>
      <c r="C25" s="47">
        <v>102.55</v>
      </c>
      <c r="D25" s="204">
        <v>261.95999999999998</v>
      </c>
      <c r="E25" s="204">
        <f t="shared" ref="E25:H25" si="9">D25*1.05</f>
        <v>275.05799999999999</v>
      </c>
      <c r="F25" s="204">
        <f t="shared" si="9"/>
        <v>288.8109</v>
      </c>
      <c r="G25" s="204">
        <f t="shared" si="9"/>
        <v>303.25144499999999</v>
      </c>
      <c r="H25" s="204">
        <f t="shared" si="9"/>
        <v>318.41401725000003</v>
      </c>
    </row>
    <row r="26" spans="1:8" x14ac:dyDescent="0.3">
      <c r="A26" s="212" t="s">
        <v>623</v>
      </c>
      <c r="B26" s="206" t="s">
        <v>609</v>
      </c>
      <c r="C26" s="47">
        <v>47.8</v>
      </c>
      <c r="D26" s="47">
        <v>47.8</v>
      </c>
      <c r="E26" s="47">
        <v>47.8</v>
      </c>
      <c r="F26" s="47">
        <v>47.8</v>
      </c>
      <c r="G26" s="47">
        <v>47.8</v>
      </c>
      <c r="H26" s="47">
        <v>47.8</v>
      </c>
    </row>
    <row r="27" spans="1:8" x14ac:dyDescent="0.3">
      <c r="A27" s="212" t="s">
        <v>624</v>
      </c>
      <c r="B27" s="48" t="s">
        <v>610</v>
      </c>
      <c r="C27" s="47"/>
      <c r="D27" s="204"/>
      <c r="E27" s="47"/>
      <c r="F27" s="47"/>
      <c r="G27" s="47"/>
      <c r="H27" s="47"/>
    </row>
    <row r="28" spans="1:8" x14ac:dyDescent="0.3">
      <c r="A28" s="212" t="s">
        <v>625</v>
      </c>
      <c r="B28" s="48" t="s">
        <v>611</v>
      </c>
      <c r="C28" s="47"/>
      <c r="D28" s="204"/>
      <c r="E28" s="47"/>
      <c r="F28" s="47"/>
      <c r="G28" s="47"/>
      <c r="H28" s="47"/>
    </row>
    <row r="29" spans="1:8" x14ac:dyDescent="0.3">
      <c r="A29" s="212" t="s">
        <v>626</v>
      </c>
      <c r="B29" s="48" t="s">
        <v>359</v>
      </c>
      <c r="C29" s="47">
        <v>1384.88</v>
      </c>
      <c r="D29" s="204">
        <v>1076.08</v>
      </c>
      <c r="E29" s="204">
        <f>D29*1.05</f>
        <v>1129.884</v>
      </c>
      <c r="F29" s="204">
        <f t="shared" ref="F29:H29" si="10">E29*1.05</f>
        <v>1186.3782000000001</v>
      </c>
      <c r="G29" s="204">
        <f t="shared" si="10"/>
        <v>1245.6971100000001</v>
      </c>
      <c r="H29" s="204">
        <f t="shared" si="10"/>
        <v>1307.9819655000001</v>
      </c>
    </row>
    <row r="30" spans="1:8" x14ac:dyDescent="0.3">
      <c r="A30" s="217" t="s">
        <v>514</v>
      </c>
      <c r="B30" s="219" t="s">
        <v>627</v>
      </c>
      <c r="C30" s="94">
        <f>C31</f>
        <v>1456.74</v>
      </c>
      <c r="D30" s="209">
        <f t="shared" ref="D30:H30" si="11">D31+D34</f>
        <v>1530</v>
      </c>
      <c r="E30" s="209">
        <f t="shared" si="11"/>
        <v>1606.5</v>
      </c>
      <c r="F30" s="209">
        <f t="shared" si="11"/>
        <v>1686.825</v>
      </c>
      <c r="G30" s="209">
        <f t="shared" si="11"/>
        <v>1771.1662500000002</v>
      </c>
      <c r="H30" s="209">
        <f t="shared" si="11"/>
        <v>1859.7245625000003</v>
      </c>
    </row>
    <row r="31" spans="1:8" x14ac:dyDescent="0.3">
      <c r="A31" s="212" t="s">
        <v>632</v>
      </c>
      <c r="B31" s="48" t="s">
        <v>628</v>
      </c>
      <c r="C31" s="47">
        <v>1456.74</v>
      </c>
      <c r="D31" s="506">
        <v>1530</v>
      </c>
      <c r="E31" s="506">
        <f>D31*1.05</f>
        <v>1606.5</v>
      </c>
      <c r="F31" s="506">
        <f t="shared" ref="F31:H31" si="12">E31*1.05</f>
        <v>1686.825</v>
      </c>
      <c r="G31" s="506">
        <f t="shared" si="12"/>
        <v>1771.1662500000002</v>
      </c>
      <c r="H31" s="506">
        <f t="shared" si="12"/>
        <v>1859.7245625000003</v>
      </c>
    </row>
    <row r="32" spans="1:8" x14ac:dyDescent="0.3">
      <c r="A32" s="212" t="s">
        <v>633</v>
      </c>
      <c r="B32" s="48" t="s">
        <v>629</v>
      </c>
      <c r="C32" s="47"/>
      <c r="D32" s="204"/>
      <c r="E32" s="47"/>
      <c r="F32" s="47"/>
      <c r="G32" s="47"/>
      <c r="H32" s="47"/>
    </row>
    <row r="33" spans="1:8" ht="27.45" customHeight="1" x14ac:dyDescent="0.3">
      <c r="A33" s="212" t="s">
        <v>634</v>
      </c>
      <c r="B33" s="48" t="s">
        <v>630</v>
      </c>
      <c r="C33" s="47"/>
      <c r="D33" s="204"/>
      <c r="E33" s="47"/>
      <c r="F33" s="47"/>
      <c r="G33" s="47"/>
      <c r="H33" s="47"/>
    </row>
    <row r="34" spans="1:8" x14ac:dyDescent="0.3">
      <c r="A34" s="212" t="s">
        <v>635</v>
      </c>
      <c r="B34" s="48" t="s">
        <v>631</v>
      </c>
      <c r="C34" s="47"/>
      <c r="D34" s="204"/>
      <c r="E34" s="204"/>
      <c r="F34" s="204"/>
      <c r="G34" s="204"/>
      <c r="H34" s="204"/>
    </row>
    <row r="35" spans="1:8" x14ac:dyDescent="0.3">
      <c r="A35" s="218" t="s">
        <v>636</v>
      </c>
      <c r="B35" s="219" t="s">
        <v>637</v>
      </c>
      <c r="C35" s="94">
        <f>C37</f>
        <v>211.7</v>
      </c>
      <c r="D35" s="94">
        <f t="shared" ref="D35:H35" si="13">D36+D37+D38+D39</f>
        <v>310</v>
      </c>
      <c r="E35" s="94">
        <f t="shared" si="13"/>
        <v>310</v>
      </c>
      <c r="F35" s="94">
        <f t="shared" si="13"/>
        <v>310</v>
      </c>
      <c r="G35" s="94">
        <f t="shared" si="13"/>
        <v>310</v>
      </c>
      <c r="H35" s="94">
        <f t="shared" si="13"/>
        <v>310</v>
      </c>
    </row>
    <row r="36" spans="1:8" x14ac:dyDescent="0.3">
      <c r="A36" s="212" t="s">
        <v>642</v>
      </c>
      <c r="B36" s="48" t="s">
        <v>638</v>
      </c>
      <c r="C36" s="47"/>
      <c r="D36" s="47"/>
      <c r="E36" s="47"/>
      <c r="F36" s="47"/>
      <c r="G36" s="47"/>
      <c r="H36" s="47"/>
    </row>
    <row r="37" spans="1:8" ht="28.8" x14ac:dyDescent="0.3">
      <c r="A37" s="212" t="s">
        <v>643</v>
      </c>
      <c r="B37" s="48" t="s">
        <v>639</v>
      </c>
      <c r="C37" s="47">
        <v>211.7</v>
      </c>
      <c r="D37" s="47">
        <v>310</v>
      </c>
      <c r="E37" s="47">
        <v>310</v>
      </c>
      <c r="F37" s="47">
        <v>310</v>
      </c>
      <c r="G37" s="47">
        <v>310</v>
      </c>
      <c r="H37" s="47">
        <v>310</v>
      </c>
    </row>
    <row r="38" spans="1:8" s="85" customFormat="1" x14ac:dyDescent="0.3">
      <c r="A38" s="212" t="s">
        <v>644</v>
      </c>
      <c r="B38" s="48" t="s">
        <v>640</v>
      </c>
      <c r="C38" s="47"/>
      <c r="D38" s="47"/>
      <c r="E38" s="47"/>
      <c r="F38" s="47"/>
      <c r="G38" s="47"/>
      <c r="H38" s="47"/>
    </row>
    <row r="39" spans="1:8" s="85" customFormat="1" x14ac:dyDescent="0.3">
      <c r="A39" s="212" t="s">
        <v>645</v>
      </c>
      <c r="B39" s="48" t="s">
        <v>641</v>
      </c>
      <c r="C39" s="47"/>
      <c r="D39" s="47"/>
      <c r="E39" s="47"/>
      <c r="F39" s="47"/>
      <c r="G39" s="47"/>
      <c r="H39" s="47"/>
    </row>
    <row r="40" spans="1:8" s="85" customFormat="1" x14ac:dyDescent="0.3">
      <c r="A40" s="212"/>
      <c r="B40" s="54" t="s">
        <v>360</v>
      </c>
      <c r="C40" s="209">
        <f t="shared" ref="C40" si="14">C5+C10+C11+C30+C35</f>
        <v>70598.42</v>
      </c>
      <c r="D40" s="209">
        <f>D5+D10+D11+D30+D35</f>
        <v>134786.9</v>
      </c>
      <c r="E40" s="209">
        <f t="shared" ref="E40:H40" si="15">E5+E10+E11+E30+E35</f>
        <v>141658.93599999999</v>
      </c>
      <c r="F40" s="209">
        <f t="shared" si="15"/>
        <v>149423.4718</v>
      </c>
      <c r="G40" s="209">
        <f t="shared" si="15"/>
        <v>156143.10839000001</v>
      </c>
      <c r="H40" s="209">
        <f t="shared" si="15"/>
        <v>164702.43580949996</v>
      </c>
    </row>
    <row r="41" spans="1:8" s="85" customFormat="1" x14ac:dyDescent="0.3">
      <c r="A41" s="213"/>
      <c r="B41" s="207"/>
      <c r="D41" s="208"/>
    </row>
    <row r="42" spans="1:8" ht="28.8" x14ac:dyDescent="0.3">
      <c r="A42" s="212"/>
      <c r="B42" s="220" t="s">
        <v>361</v>
      </c>
      <c r="C42" s="48" t="s">
        <v>843</v>
      </c>
      <c r="D42" s="47" t="s">
        <v>915</v>
      </c>
      <c r="E42" s="47" t="s">
        <v>867</v>
      </c>
      <c r="F42" s="47" t="s">
        <v>916</v>
      </c>
      <c r="G42" s="47" t="s">
        <v>917</v>
      </c>
      <c r="H42" s="47" t="s">
        <v>914</v>
      </c>
    </row>
    <row r="43" spans="1:8" x14ac:dyDescent="0.3">
      <c r="A43" s="47" t="s">
        <v>355</v>
      </c>
      <c r="B43" s="47" t="s">
        <v>151</v>
      </c>
      <c r="C43" s="47"/>
      <c r="D43" s="89"/>
      <c r="E43" s="47"/>
      <c r="F43" s="47"/>
      <c r="G43" s="47"/>
      <c r="H43" s="47"/>
    </row>
    <row r="44" spans="1:8" x14ac:dyDescent="0.3">
      <c r="A44" s="212" t="s">
        <v>646</v>
      </c>
      <c r="B44" s="221" t="s">
        <v>647</v>
      </c>
      <c r="C44" s="47">
        <v>10156.299999999999</v>
      </c>
      <c r="D44" s="89">
        <v>15555.32</v>
      </c>
      <c r="E44" s="47">
        <v>16333.09</v>
      </c>
      <c r="F44" s="47">
        <v>17149.740000000002</v>
      </c>
      <c r="G44" s="47">
        <v>18007.23</v>
      </c>
      <c r="H44" s="47">
        <v>18907.59</v>
      </c>
    </row>
    <row r="45" spans="1:8" x14ac:dyDescent="0.3">
      <c r="A45" s="212" t="s">
        <v>648</v>
      </c>
      <c r="B45" s="48" t="s">
        <v>649</v>
      </c>
      <c r="C45" s="47">
        <v>49.01</v>
      </c>
      <c r="D45" s="89">
        <v>60.18</v>
      </c>
      <c r="E45" s="47">
        <v>63.19</v>
      </c>
      <c r="F45" s="47">
        <v>66.349999999999994</v>
      </c>
      <c r="G45" s="47">
        <v>69.67</v>
      </c>
      <c r="H45" s="47">
        <v>73.150000000000006</v>
      </c>
    </row>
    <row r="46" spans="1:8" x14ac:dyDescent="0.3">
      <c r="A46" s="212" t="s">
        <v>652</v>
      </c>
      <c r="B46" s="48" t="s">
        <v>650</v>
      </c>
      <c r="C46" s="47">
        <v>243.07</v>
      </c>
      <c r="D46" s="89">
        <v>502.32</v>
      </c>
      <c r="E46" s="47">
        <v>527.44000000000005</v>
      </c>
      <c r="F46" s="47">
        <v>553.80999999999995</v>
      </c>
      <c r="G46" s="47">
        <v>581.5</v>
      </c>
      <c r="H46" s="47">
        <v>610.57000000000005</v>
      </c>
    </row>
    <row r="47" spans="1:8" x14ac:dyDescent="0.3">
      <c r="A47" s="212" t="s">
        <v>653</v>
      </c>
      <c r="B47" s="48" t="s">
        <v>651</v>
      </c>
      <c r="C47" s="47">
        <v>1153.02</v>
      </c>
      <c r="D47" s="47">
        <v>1153.02</v>
      </c>
      <c r="E47" s="47">
        <v>1153.02</v>
      </c>
      <c r="F47" s="47">
        <v>1153.02</v>
      </c>
      <c r="G47" s="47">
        <v>1153.02</v>
      </c>
      <c r="H47" s="47">
        <v>1153.02</v>
      </c>
    </row>
    <row r="48" spans="1:8" x14ac:dyDescent="0.3">
      <c r="A48" s="212" t="s">
        <v>654</v>
      </c>
      <c r="B48" s="48" t="s">
        <v>655</v>
      </c>
      <c r="C48" s="94">
        <f>C50+C51+C52</f>
        <v>2482.1099999999997</v>
      </c>
      <c r="D48" s="94">
        <f t="shared" ref="D48:H48" si="16">D50+D51+D52</f>
        <v>2365.5300000000002</v>
      </c>
      <c r="E48" s="94">
        <f t="shared" si="16"/>
        <v>2365.5300000000002</v>
      </c>
      <c r="F48" s="94">
        <f t="shared" si="16"/>
        <v>2365.5300000000002</v>
      </c>
      <c r="G48" s="94">
        <f t="shared" si="16"/>
        <v>2365.5300000000002</v>
      </c>
      <c r="H48" s="94">
        <f t="shared" si="16"/>
        <v>2365.5300000000002</v>
      </c>
    </row>
    <row r="49" spans="1:8" x14ac:dyDescent="0.3">
      <c r="A49" s="212" t="s">
        <v>658</v>
      </c>
      <c r="B49" s="48" t="s">
        <v>656</v>
      </c>
      <c r="C49" s="47"/>
      <c r="D49" s="89"/>
      <c r="E49" s="89"/>
      <c r="F49" s="89"/>
      <c r="G49" s="89"/>
      <c r="H49" s="47"/>
    </row>
    <row r="50" spans="1:8" x14ac:dyDescent="0.3">
      <c r="A50" s="212" t="s">
        <v>659</v>
      </c>
      <c r="B50" s="48" t="s">
        <v>563</v>
      </c>
      <c r="C50" s="47">
        <v>29.77</v>
      </c>
      <c r="D50" s="89">
        <v>29.77</v>
      </c>
      <c r="E50" s="89">
        <v>29.77</v>
      </c>
      <c r="F50" s="89">
        <v>29.77</v>
      </c>
      <c r="G50" s="89">
        <v>29.77</v>
      </c>
      <c r="H50" s="47">
        <v>29.77</v>
      </c>
    </row>
    <row r="51" spans="1:8" x14ac:dyDescent="0.3">
      <c r="A51" s="212" t="s">
        <v>660</v>
      </c>
      <c r="B51" s="48" t="s">
        <v>657</v>
      </c>
      <c r="C51" s="47">
        <v>6.6</v>
      </c>
      <c r="D51" s="89">
        <v>6.63</v>
      </c>
      <c r="E51" s="89">
        <v>6.63</v>
      </c>
      <c r="F51" s="89">
        <v>6.63</v>
      </c>
      <c r="G51" s="89">
        <v>6.63</v>
      </c>
      <c r="H51" s="47">
        <v>6.63</v>
      </c>
    </row>
    <row r="52" spans="1:8" x14ac:dyDescent="0.3">
      <c r="A52" s="212" t="s">
        <v>661</v>
      </c>
      <c r="B52" s="48" t="s">
        <v>564</v>
      </c>
      <c r="C52" s="47">
        <v>2445.7399999999998</v>
      </c>
      <c r="D52" s="47">
        <v>2329.13</v>
      </c>
      <c r="E52" s="47">
        <v>2329.13</v>
      </c>
      <c r="F52" s="47">
        <v>2329.13</v>
      </c>
      <c r="G52" s="47">
        <v>2329.13</v>
      </c>
      <c r="H52" s="47">
        <v>2329.13</v>
      </c>
    </row>
    <row r="53" spans="1:8" x14ac:dyDescent="0.3">
      <c r="A53" s="212" t="s">
        <v>662</v>
      </c>
      <c r="B53" s="48" t="s">
        <v>663</v>
      </c>
      <c r="C53" s="47">
        <v>14930.19</v>
      </c>
      <c r="D53" s="360">
        <f>D10*30.4%</f>
        <v>34060.311999999998</v>
      </c>
      <c r="E53" s="360">
        <f t="shared" ref="E53:H53" si="17">E10*30.4%</f>
        <v>35763.329120000002</v>
      </c>
      <c r="F53" s="360">
        <f t="shared" si="17"/>
        <v>37551.493599999994</v>
      </c>
      <c r="G53" s="360">
        <f t="shared" si="17"/>
        <v>39429.067519999997</v>
      </c>
      <c r="H53" s="204">
        <f t="shared" si="17"/>
        <v>41400.522719999994</v>
      </c>
    </row>
    <row r="54" spans="1:8" x14ac:dyDescent="0.3">
      <c r="A54" s="212" t="s">
        <v>664</v>
      </c>
      <c r="B54" s="48" t="s">
        <v>362</v>
      </c>
      <c r="C54" s="47"/>
      <c r="D54" s="89"/>
      <c r="E54" s="47"/>
      <c r="F54" s="47"/>
      <c r="G54" s="47"/>
      <c r="H54" s="47"/>
    </row>
    <row r="55" spans="1:8" x14ac:dyDescent="0.3">
      <c r="A55" s="212" t="s">
        <v>671</v>
      </c>
      <c r="B55" s="48" t="s">
        <v>665</v>
      </c>
      <c r="C55" s="47"/>
      <c r="D55" s="89">
        <v>368</v>
      </c>
      <c r="E55" s="47">
        <v>383.3</v>
      </c>
      <c r="F55" s="47">
        <v>399.36</v>
      </c>
      <c r="G55" s="47">
        <v>416.24</v>
      </c>
      <c r="H55" s="47">
        <v>433.94</v>
      </c>
    </row>
    <row r="56" spans="1:8" ht="26.55" customHeight="1" x14ac:dyDescent="0.3">
      <c r="A56" s="212" t="s">
        <v>672</v>
      </c>
      <c r="B56" s="48" t="s">
        <v>683</v>
      </c>
      <c r="C56" s="47">
        <v>1038.82</v>
      </c>
      <c r="D56" s="47">
        <v>1038.82</v>
      </c>
      <c r="E56" s="47">
        <v>1038.82</v>
      </c>
      <c r="F56" s="47">
        <v>1038.82</v>
      </c>
      <c r="G56" s="47">
        <v>1038.82</v>
      </c>
      <c r="H56" s="47">
        <v>1038.82</v>
      </c>
    </row>
    <row r="57" spans="1:8" ht="15" customHeight="1" x14ac:dyDescent="0.3">
      <c r="A57" s="212" t="s">
        <v>673</v>
      </c>
      <c r="B57" s="48" t="s">
        <v>666</v>
      </c>
      <c r="C57" s="47">
        <v>4835.82</v>
      </c>
      <c r="D57" s="47">
        <v>875</v>
      </c>
      <c r="E57" s="47">
        <v>875</v>
      </c>
      <c r="F57" s="47">
        <v>875</v>
      </c>
      <c r="G57" s="47">
        <v>875</v>
      </c>
      <c r="H57" s="47">
        <v>875</v>
      </c>
    </row>
    <row r="58" spans="1:8" x14ac:dyDescent="0.3">
      <c r="A58" s="212" t="s">
        <v>674</v>
      </c>
      <c r="B58" s="48" t="s">
        <v>667</v>
      </c>
      <c r="C58" s="47"/>
      <c r="D58" s="47"/>
      <c r="E58" s="47"/>
      <c r="F58" s="47"/>
      <c r="G58" s="47"/>
      <c r="H58" s="47"/>
    </row>
    <row r="59" spans="1:8" x14ac:dyDescent="0.3">
      <c r="A59" s="212" t="s">
        <v>675</v>
      </c>
      <c r="B59" s="48" t="s">
        <v>668</v>
      </c>
      <c r="C59" s="47">
        <v>4835.82</v>
      </c>
      <c r="D59" s="47">
        <v>875</v>
      </c>
      <c r="E59" s="47">
        <v>875</v>
      </c>
      <c r="F59" s="47">
        <v>875</v>
      </c>
      <c r="G59" s="47">
        <v>875</v>
      </c>
      <c r="H59" s="47">
        <v>875</v>
      </c>
    </row>
    <row r="60" spans="1:8" x14ac:dyDescent="0.3">
      <c r="A60" s="212" t="s">
        <v>676</v>
      </c>
      <c r="B60" s="48" t="s">
        <v>669</v>
      </c>
      <c r="C60" s="47"/>
      <c r="D60" s="89"/>
      <c r="E60" s="47"/>
      <c r="F60" s="47"/>
      <c r="G60" s="47"/>
      <c r="H60" s="47"/>
    </row>
    <row r="61" spans="1:8" x14ac:dyDescent="0.3">
      <c r="A61" s="212" t="s">
        <v>677</v>
      </c>
      <c r="B61" s="48" t="s">
        <v>737</v>
      </c>
      <c r="C61" s="47"/>
      <c r="D61" s="47"/>
      <c r="E61" s="89"/>
      <c r="F61" s="47"/>
      <c r="G61" s="47"/>
      <c r="H61" s="47"/>
    </row>
    <row r="62" spans="1:8" x14ac:dyDescent="0.3">
      <c r="A62" s="212"/>
      <c r="B62" s="54" t="s">
        <v>364</v>
      </c>
      <c r="C62" s="209">
        <f t="shared" ref="C62" si="18">C44+C45+C46+C47+C48+C53+C55+C56+C57+C60+C61</f>
        <v>34888.339999999997</v>
      </c>
      <c r="D62" s="209">
        <f t="shared" ref="D62:H62" si="19">D44+D45+D46+D47+D48+D53+D55+D56+D57+D60+D61</f>
        <v>55978.502</v>
      </c>
      <c r="E62" s="209">
        <f t="shared" si="19"/>
        <v>58502.719120000002</v>
      </c>
      <c r="F62" s="209">
        <f t="shared" si="19"/>
        <v>61153.123599999999</v>
      </c>
      <c r="G62" s="209">
        <f t="shared" si="19"/>
        <v>63936.077519999992</v>
      </c>
      <c r="H62" s="209">
        <f t="shared" si="19"/>
        <v>66858.142720000003</v>
      </c>
    </row>
    <row r="63" spans="1:8" x14ac:dyDescent="0.3">
      <c r="A63" s="213"/>
      <c r="B63" s="207"/>
      <c r="C63" s="504"/>
      <c r="D63" s="207"/>
      <c r="E63" s="152"/>
      <c r="F63" s="152"/>
      <c r="G63" s="152"/>
      <c r="H63" s="152"/>
    </row>
    <row r="64" spans="1:8" ht="29.4" customHeight="1" x14ac:dyDescent="0.3">
      <c r="A64" s="713" t="s">
        <v>678</v>
      </c>
      <c r="B64" s="713"/>
      <c r="C64" s="505"/>
      <c r="D64" s="459"/>
      <c r="E64" s="459"/>
      <c r="F64" s="359"/>
      <c r="G64" s="359"/>
      <c r="H64" s="359"/>
    </row>
    <row r="65" spans="1:8" ht="30" customHeight="1" x14ac:dyDescent="0.3">
      <c r="A65" s="212" t="s">
        <v>679</v>
      </c>
      <c r="B65" s="48" t="s">
        <v>924</v>
      </c>
      <c r="C65" s="47">
        <v>1568.1669999999999</v>
      </c>
      <c r="D65" s="47">
        <v>2317.77</v>
      </c>
      <c r="E65" s="89">
        <v>2323.7199999999998</v>
      </c>
      <c r="F65" s="47">
        <v>1680.87</v>
      </c>
      <c r="G65" s="47">
        <v>7253.82</v>
      </c>
      <c r="H65" s="47">
        <v>3316.78</v>
      </c>
    </row>
    <row r="66" spans="1:8" ht="15.6" x14ac:dyDescent="0.3">
      <c r="A66" s="212" t="s">
        <v>680</v>
      </c>
      <c r="B66" s="222" t="s">
        <v>681</v>
      </c>
      <c r="C66" s="209">
        <f>C65+C62+C40</f>
        <v>107054.927</v>
      </c>
      <c r="D66" s="209">
        <f t="shared" ref="D66:H66" si="20">D40+D62+D65</f>
        <v>193083.17199999999</v>
      </c>
      <c r="E66" s="209">
        <f t="shared" si="20"/>
        <v>202485.37511999998</v>
      </c>
      <c r="F66" s="209">
        <f t="shared" si="20"/>
        <v>212257.46539999999</v>
      </c>
      <c r="G66" s="209">
        <f t="shared" si="20"/>
        <v>227333.00591000001</v>
      </c>
      <c r="H66" s="209">
        <f t="shared" si="20"/>
        <v>234877.35852949996</v>
      </c>
    </row>
    <row r="68" spans="1:8" x14ac:dyDescent="0.3">
      <c r="B68" s="53" t="s">
        <v>429</v>
      </c>
    </row>
  </sheetData>
  <mergeCells count="1">
    <mergeCell ref="A64:B64"/>
  </mergeCell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норм шт</vt:lpstr>
      <vt:lpstr>рас нор чис АУП</vt:lpstr>
      <vt:lpstr>расч.числ рабочих</vt:lpstr>
      <vt:lpstr>2.2</vt:lpstr>
      <vt:lpstr>2.1</vt:lpstr>
      <vt:lpstr>1.4</vt:lpstr>
      <vt:lpstr>потери 18</vt:lpstr>
      <vt:lpstr>норм маш</vt:lpstr>
      <vt:lpstr>нвв</vt:lpstr>
      <vt:lpstr>1.15</vt:lpstr>
      <vt:lpstr>1.16</vt:lpstr>
      <vt:lpstr>1.21</vt:lpstr>
      <vt:lpstr>1.24</vt:lpstr>
      <vt:lpstr>1.25</vt:lpstr>
      <vt:lpstr>МАТЕР ВСЕГО</vt:lpstr>
      <vt:lpstr>мэс-план</vt:lpstr>
      <vt:lpstr>мэс-факт</vt:lpstr>
      <vt:lpstr>дэк</vt:lpstr>
      <vt:lpstr>дрск</vt:lpstr>
      <vt:lpstr>Икс Ванино</vt:lpstr>
      <vt:lpstr>Смета расходов по годам</vt:lpstr>
      <vt:lpstr>Сравнить НВВ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2022-04-27T00:54:24Z</dcterms:modified>
</cp:coreProperties>
</file>